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sfedu-my.sharepoint.com/personal/cta1_usf_edu/Documents/Coursework/Spring 2026/Financial Modeling and Analytics/Mod 3 - Capital Budgeting and Risk Analysis/"/>
    </mc:Choice>
  </mc:AlternateContent>
  <xr:revisionPtr revIDLastSave="399" documentId="11_E60897F41BE170836B02CE998F75CCDC64E183C8" xr6:coauthVersionLast="47" xr6:coauthVersionMax="47" xr10:uidLastSave="{09CFC89C-A9A4-406B-8F6E-95A6E0016D96}"/>
  <bookViews>
    <workbookView xWindow="-120" yWindow="-120" windowWidth="29040" windowHeight="15720" activeTab="2" xr2:uid="{00000000-000D-0000-FFFF-FFFF00000000}"/>
  </bookViews>
  <sheets>
    <sheet name="Q1" sheetId="1" r:id="rId1"/>
    <sheet name="Q2" sheetId="4" r:id="rId2"/>
    <sheet name="Q3" sheetId="14" r:id="rId3"/>
    <sheet name="Q3Scenario Summary" sheetId="17" r:id="rId4"/>
  </sheets>
  <calcPr calcId="191028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4" l="1"/>
  <c r="B10" i="14"/>
  <c r="B9" i="14"/>
  <c r="B7" i="14"/>
  <c r="B3" i="14"/>
  <c r="K46" i="14"/>
  <c r="K43" i="14"/>
  <c r="K40" i="14"/>
  <c r="K37" i="14"/>
  <c r="B27" i="14"/>
  <c r="G20" i="14"/>
  <c r="E20" i="14"/>
  <c r="D20" i="14"/>
  <c r="C20" i="14"/>
  <c r="G19" i="14"/>
  <c r="F19" i="14"/>
  <c r="E19" i="14"/>
  <c r="D19" i="14"/>
  <c r="C19" i="14"/>
  <c r="B16" i="14"/>
  <c r="N9" i="14"/>
  <c r="M9" i="14"/>
  <c r="F20" i="14" s="1"/>
  <c r="L9" i="14"/>
  <c r="K9" i="14"/>
  <c r="J9" i="14"/>
  <c r="B12" i="4"/>
  <c r="B10" i="4"/>
  <c r="B9" i="4"/>
  <c r="B7" i="4"/>
  <c r="B3" i="4"/>
  <c r="K46" i="4"/>
  <c r="K43" i="4"/>
  <c r="K40" i="4"/>
  <c r="K37" i="4"/>
  <c r="G19" i="4"/>
  <c r="F19" i="4"/>
  <c r="E19" i="4"/>
  <c r="D19" i="4"/>
  <c r="C19" i="4"/>
  <c r="B16" i="4"/>
  <c r="B27" i="4" s="1"/>
  <c r="N9" i="4"/>
  <c r="G20" i="4" s="1"/>
  <c r="M9" i="4"/>
  <c r="F20" i="4" s="1"/>
  <c r="L9" i="4"/>
  <c r="E20" i="4" s="1"/>
  <c r="K9" i="4"/>
  <c r="D20" i="4" s="1"/>
  <c r="J9" i="4"/>
  <c r="C20" i="4" s="1"/>
  <c r="B32" i="1"/>
  <c r="B31" i="1"/>
  <c r="B30" i="1"/>
  <c r="B29" i="1"/>
  <c r="C27" i="1"/>
  <c r="D27" i="1"/>
  <c r="E27" i="1"/>
  <c r="F27" i="1"/>
  <c r="G27" i="1"/>
  <c r="B27" i="1"/>
  <c r="G25" i="1"/>
  <c r="J23" i="1"/>
  <c r="J22" i="1"/>
  <c r="J21" i="1"/>
  <c r="J20" i="1"/>
  <c r="C18" i="1"/>
  <c r="C19" i="1"/>
  <c r="D24" i="1"/>
  <c r="E24" i="1"/>
  <c r="F24" i="1"/>
  <c r="G24" i="1"/>
  <c r="C24" i="1"/>
  <c r="D23" i="1"/>
  <c r="E23" i="1"/>
  <c r="F23" i="1"/>
  <c r="G23" i="1"/>
  <c r="C23" i="1"/>
  <c r="C22" i="1"/>
  <c r="D22" i="1"/>
  <c r="E22" i="1"/>
  <c r="F22" i="1"/>
  <c r="G22" i="1"/>
  <c r="D21" i="1"/>
  <c r="E21" i="1"/>
  <c r="F21" i="1"/>
  <c r="G21" i="1"/>
  <c r="C21" i="1"/>
  <c r="D20" i="1"/>
  <c r="E20" i="1"/>
  <c r="F20" i="1"/>
  <c r="G20" i="1"/>
  <c r="C20" i="1"/>
  <c r="K9" i="1"/>
  <c r="L9" i="1"/>
  <c r="M9" i="1"/>
  <c r="N9" i="1"/>
  <c r="J9" i="1"/>
  <c r="B16" i="1"/>
  <c r="D19" i="1"/>
  <c r="E19" i="1"/>
  <c r="F19" i="1"/>
  <c r="G19" i="1"/>
  <c r="D18" i="1"/>
  <c r="E18" i="1"/>
  <c r="F18" i="1"/>
  <c r="G18" i="1"/>
  <c r="D17" i="1"/>
  <c r="E17" i="1"/>
  <c r="F17" i="1"/>
  <c r="G17" i="1"/>
  <c r="C17" i="1"/>
  <c r="G17" i="14" l="1"/>
  <c r="L37" i="14"/>
  <c r="C18" i="14"/>
  <c r="E17" i="14"/>
  <c r="L40" i="14"/>
  <c r="L43" i="14"/>
  <c r="G18" i="14"/>
  <c r="F17" i="14"/>
  <c r="L46" i="14"/>
  <c r="J20" i="14"/>
  <c r="J21" i="14" s="1"/>
  <c r="J22" i="14" s="1"/>
  <c r="J23" i="14" s="1"/>
  <c r="G25" i="14" s="1"/>
  <c r="D18" i="14"/>
  <c r="E18" i="14"/>
  <c r="C17" i="14"/>
  <c r="F18" i="14"/>
  <c r="D17" i="14"/>
  <c r="L46" i="4"/>
  <c r="L43" i="4"/>
  <c r="L40" i="4"/>
  <c r="L37" i="4"/>
  <c r="D17" i="4"/>
  <c r="E18" i="4"/>
  <c r="C17" i="4"/>
  <c r="G18" i="4"/>
  <c r="F18" i="4"/>
  <c r="E17" i="4"/>
  <c r="F17" i="4"/>
  <c r="G17" i="4"/>
  <c r="D18" i="4"/>
  <c r="C18" i="4"/>
  <c r="J20" i="4"/>
  <c r="J21" i="4" s="1"/>
  <c r="J22" i="4" s="1"/>
  <c r="J23" i="4" s="1"/>
  <c r="G25" i="4" s="1"/>
  <c r="C21" i="14" l="1"/>
  <c r="C22" i="14" s="1"/>
  <c r="C23" i="14" s="1"/>
  <c r="C24" i="14" s="1"/>
  <c r="C27" i="14" s="1"/>
  <c r="E21" i="14"/>
  <c r="E22" i="14" s="1"/>
  <c r="E23" i="14" s="1"/>
  <c r="E24" i="14" s="1"/>
  <c r="E27" i="14" s="1"/>
  <c r="G21" i="14"/>
  <c r="G22" i="14" s="1"/>
  <c r="G23" i="14" s="1"/>
  <c r="G24" i="14" s="1"/>
  <c r="G27" i="14" s="1"/>
  <c r="D21" i="14"/>
  <c r="D22" i="14" s="1"/>
  <c r="D23" i="14" s="1"/>
  <c r="D24" i="14" s="1"/>
  <c r="D27" i="14" s="1"/>
  <c r="F21" i="14"/>
  <c r="D21" i="4"/>
  <c r="D22" i="4" s="1"/>
  <c r="G21" i="4"/>
  <c r="G22" i="4" s="1"/>
  <c r="G23" i="4" s="1"/>
  <c r="G24" i="4" s="1"/>
  <c r="G27" i="4" s="1"/>
  <c r="F21" i="4"/>
  <c r="F22" i="4" s="1"/>
  <c r="F23" i="4" s="1"/>
  <c r="F24" i="4" s="1"/>
  <c r="F27" i="4" s="1"/>
  <c r="E21" i="4"/>
  <c r="E22" i="4" s="1"/>
  <c r="E23" i="4" s="1"/>
  <c r="E24" i="4" s="1"/>
  <c r="E27" i="4" s="1"/>
  <c r="C21" i="4"/>
  <c r="C22" i="4" s="1"/>
  <c r="C23" i="4" s="1"/>
  <c r="C24" i="4" s="1"/>
  <c r="C27" i="4" s="1"/>
  <c r="F22" i="14" l="1"/>
  <c r="F23" i="14" s="1"/>
  <c r="F24" i="14" s="1"/>
  <c r="F27" i="14" s="1"/>
  <c r="D23" i="4"/>
  <c r="D24" i="4" s="1"/>
  <c r="D27" i="4" s="1"/>
  <c r="B30" i="4" s="1"/>
  <c r="B30" i="14" l="1"/>
  <c r="B32" i="14"/>
  <c r="B29" i="14"/>
  <c r="A47" i="14" s="1"/>
  <c r="B31" i="14"/>
  <c r="B29" i="4"/>
  <c r="A47" i="4" s="1"/>
  <c r="B31" i="4"/>
  <c r="B32" i="4"/>
  <c r="A41" i="14" l="1"/>
  <c r="A38" i="14"/>
  <c r="A44" i="14"/>
  <c r="A44" i="4"/>
  <c r="A38" i="4"/>
  <c r="A41" i="4"/>
</calcChain>
</file>

<file path=xl/sharedStrings.xml><?xml version="1.0" encoding="utf-8"?>
<sst xmlns="http://schemas.openxmlformats.org/spreadsheetml/2006/main" count="157" uniqueCount="58">
  <si>
    <t>Annual rock salt quantity (tons)</t>
  </si>
  <si>
    <t>Expected avg rock salt quantity (tons)</t>
  </si>
  <si>
    <t>Cost of processing equipment</t>
  </si>
  <si>
    <t>Sensitivity %</t>
  </si>
  <si>
    <t>Life of project</t>
  </si>
  <si>
    <t>MACRS Class</t>
  </si>
  <si>
    <t>Recovery Year</t>
  </si>
  <si>
    <t>3-Year</t>
  </si>
  <si>
    <t>5-Year</t>
  </si>
  <si>
    <t>14.81 *</t>
  </si>
  <si>
    <t>11.52 *</t>
  </si>
  <si>
    <t>Annual fixed costs</t>
  </si>
  <si>
    <t>Variable costs per ton of final product</t>
  </si>
  <si>
    <t>Selling price per ton</t>
  </si>
  <si>
    <t>Initial NWC</t>
  </si>
  <si>
    <t>all will be covered at end of project</t>
  </si>
  <si>
    <t>Tax rate</t>
  </si>
  <si>
    <t>Year</t>
  </si>
  <si>
    <t>Initial Outlay</t>
  </si>
  <si>
    <t>Sales</t>
  </si>
  <si>
    <t>Variable costs</t>
  </si>
  <si>
    <t>Fixed costs</t>
  </si>
  <si>
    <t>Depreciation</t>
  </si>
  <si>
    <t>Taxable CF</t>
  </si>
  <si>
    <t>Tax</t>
  </si>
  <si>
    <t>Net income</t>
  </si>
  <si>
    <t>ATCF</t>
  </si>
  <si>
    <t>Terminal CF</t>
  </si>
  <si>
    <t>Total CF</t>
  </si>
  <si>
    <t>NPV</t>
  </si>
  <si>
    <t>IRR</t>
  </si>
  <si>
    <t>MIRR</t>
  </si>
  <si>
    <t>PI</t>
  </si>
  <si>
    <t>Salvage value of the processing equipment</t>
  </si>
  <si>
    <t>WACC (Discount rate)</t>
  </si>
  <si>
    <t>No growth rate stays constant</t>
  </si>
  <si>
    <t>BV</t>
  </si>
  <si>
    <t>Gain</t>
  </si>
  <si>
    <t>AT Salvage value</t>
  </si>
  <si>
    <t>Project Acceptable?</t>
  </si>
  <si>
    <t xml:space="preserve">Yes, since these are all positive values, however, there were several assuptions made </t>
  </si>
  <si>
    <t>Slope</t>
  </si>
  <si>
    <t>Rank</t>
  </si>
  <si>
    <t>Optimisitic case</t>
  </si>
  <si>
    <t>Pessimistic case</t>
  </si>
  <si>
    <t>Scenario Summary</t>
  </si>
  <si>
    <t>Changing Cells:</t>
  </si>
  <si>
    <t>Result Cells:</t>
  </si>
  <si>
    <t>Notes:  Current Values column represents values of changing cells at</t>
  </si>
  <si>
    <t>time Scenario Summary Report was created.  Changing cells for each</t>
  </si>
  <si>
    <t>scenario are highlighted in gray.</t>
  </si>
  <si>
    <t>Created by Anestal, Chelsea on 3/29/2026
Modified by Anestal, Chelsea on 3/29/2026</t>
  </si>
  <si>
    <t>Expected quantity (tons)</t>
  </si>
  <si>
    <t>Selling price per ton ($)</t>
  </si>
  <si>
    <t>Variable Cost per ton ($)</t>
  </si>
  <si>
    <t>Base case</t>
  </si>
  <si>
    <t>Yes, the project is acceptable. The expected "Base Case" assumptions, henerates a positive NPV of $576,600 and an IRR of 22.08% which is above the 10% WACC.</t>
  </si>
  <si>
    <t>Caution on the sellng price per ton as shown in the sensitivty diahram, even a minor decrease in price can significantly erode value.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</si>
</sst>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202122"/>
      <name val="Arial"/>
      <family val="2"/>
    </font>
    <font>
      <sz val="12"/>
      <color rgb="FF202122"/>
      <name val="Arial"/>
      <family val="2"/>
    </font>
    <font>
      <b/>
      <sz val="12"/>
      <color indexed="9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18"/>
      <name val="Calibri"/>
      <family val="2"/>
      <scheme val="minor"/>
    </font>
    <font>
      <sz val="10"/>
      <color indexed="9"/>
      <name val="Calibri"/>
      <family val="2"/>
      <scheme val="minor"/>
    </font>
    <font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EAECF0"/>
        <bgColor indexed="64"/>
      </patternFill>
    </fill>
    <fill>
      <patternFill patternType="solid">
        <fgColor rgb="FFF8F9F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6">
    <border>
      <left/>
      <right/>
      <top/>
      <bottom/>
      <diagonal/>
    </border>
    <border>
      <left style="medium">
        <color rgb="FFA2A9B1"/>
      </left>
      <right style="medium">
        <color rgb="FFA2A9B1"/>
      </right>
      <top style="medium">
        <color rgb="FFA2A9B1"/>
      </top>
      <bottom style="medium">
        <color rgb="FFA2A9B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0">
    <xf numFmtId="0" fontId="0" fillId="0" borderId="0" xfId="0"/>
    <xf numFmtId="3" fontId="0" fillId="0" borderId="0" xfId="0" applyNumberFormat="1"/>
    <xf numFmtId="44" fontId="0" fillId="0" borderId="0" xfId="1" applyFont="1"/>
    <xf numFmtId="0" fontId="2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6" fontId="0" fillId="0" borderId="0" xfId="0" applyNumberFormat="1"/>
    <xf numFmtId="9" fontId="0" fillId="0" borderId="0" xfId="0" applyNumberFormat="1"/>
    <xf numFmtId="44" fontId="0" fillId="0" borderId="0" xfId="0" applyNumberFormat="1"/>
    <xf numFmtId="9" fontId="0" fillId="0" borderId="0" xfId="3" applyFont="1"/>
    <xf numFmtId="10" fontId="0" fillId="0" borderId="0" xfId="3" applyNumberFormat="1" applyFont="1"/>
    <xf numFmtId="10" fontId="0" fillId="0" borderId="0" xfId="0" applyNumberFormat="1"/>
    <xf numFmtId="43" fontId="0" fillId="0" borderId="0" xfId="2" applyFont="1"/>
    <xf numFmtId="0" fontId="0" fillId="4" borderId="0" xfId="0" applyFill="1"/>
    <xf numFmtId="44" fontId="0" fillId="4" borderId="0" xfId="1" applyFont="1" applyFill="1"/>
    <xf numFmtId="0" fontId="4" fillId="5" borderId="4" xfId="0" applyFont="1" applyFill="1" applyBorder="1" applyAlignment="1">
      <alignment horizontal="left"/>
    </xf>
    <xf numFmtId="0" fontId="4" fillId="5" borderId="2" xfId="0" applyFont="1" applyFill="1" applyBorder="1" applyAlignment="1">
      <alignment horizontal="left"/>
    </xf>
    <xf numFmtId="0" fontId="6" fillId="6" borderId="5" xfId="0" applyFont="1" applyFill="1" applyBorder="1" applyAlignment="1">
      <alignment horizontal="left"/>
    </xf>
    <xf numFmtId="0" fontId="5" fillId="6" borderId="3" xfId="0" applyFont="1" applyFill="1" applyBorder="1" applyAlignment="1">
      <alignment horizontal="left"/>
    </xf>
    <xf numFmtId="0" fontId="7" fillId="5" borderId="2" xfId="0" applyFont="1" applyFill="1" applyBorder="1" applyAlignment="1">
      <alignment horizontal="right"/>
    </xf>
    <xf numFmtId="0" fontId="7" fillId="5" borderId="4" xfId="0" applyFont="1" applyFill="1" applyBorder="1" applyAlignment="1">
      <alignment horizontal="right"/>
    </xf>
    <xf numFmtId="0" fontId="0" fillId="0" borderId="0" xfId="0" applyFill="1" applyBorder="1" applyAlignment="1"/>
    <xf numFmtId="44" fontId="0" fillId="0" borderId="0" xfId="0" applyNumberFormat="1" applyFill="1" applyBorder="1" applyAlignment="1"/>
    <xf numFmtId="10" fontId="0" fillId="0" borderId="0" xfId="0" applyNumberFormat="1" applyFill="1" applyBorder="1" applyAlignment="1"/>
    <xf numFmtId="43" fontId="0" fillId="0" borderId="3" xfId="0" applyNumberFormat="1" applyFill="1" applyBorder="1" applyAlignment="1"/>
    <xf numFmtId="0" fontId="0" fillId="0" borderId="5" xfId="0" applyFill="1" applyBorder="1" applyAlignment="1"/>
    <xf numFmtId="0" fontId="5" fillId="6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vertical="top" wrapText="1"/>
    </xf>
    <xf numFmtId="3" fontId="0" fillId="0" borderId="0" xfId="0" applyNumberFormat="1" applyFill="1" applyBorder="1" applyAlignment="1"/>
    <xf numFmtId="44" fontId="0" fillId="7" borderId="0" xfId="0" applyNumberFormat="1" applyFill="1" applyBorder="1" applyAlignment="1"/>
    <xf numFmtId="3" fontId="0" fillId="7" borderId="0" xfId="0" applyNumberFormat="1" applyFill="1" applyBorder="1" applyAlignment="1"/>
  </cellXfs>
  <cellStyles count="4">
    <cellStyle name="Comma" xfId="2" builtinId="3"/>
    <cellStyle name="Currency" xfId="1" builtinId="4"/>
    <cellStyle name="Normal" xfId="0" builtinId="0"/>
    <cellStyle name="Percent" xfId="3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Sensitivity Diagram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'Q2'!$A$37</c:f>
              <c:strCache>
                <c:ptCount val="1"/>
                <c:pt idx="0">
                  <c:v>Expected avg rock salt quantity (tons)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circle"/>
            <c:size val="3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1">
                    <a:satMod val="175000"/>
                    <a:alpha val="25000"/>
                  </a:schemeClr>
                </a:glow>
              </a:effectLst>
            </c:spPr>
          </c:marker>
          <c:xVal>
            <c:numRef>
              <c:f>'Q2'!$C$37:$I$37</c:f>
              <c:numCache>
                <c:formatCode>0%</c:formatCode>
                <c:ptCount val="7"/>
                <c:pt idx="0">
                  <c:v>-0.3</c:v>
                </c:pt>
                <c:pt idx="1">
                  <c:v>-0.2</c:v>
                </c:pt>
                <c:pt idx="2">
                  <c:v>-0.1</c:v>
                </c:pt>
                <c:pt idx="3">
                  <c:v>0</c:v>
                </c:pt>
                <c:pt idx="4">
                  <c:v>0.1</c:v>
                </c:pt>
                <c:pt idx="5">
                  <c:v>0.2</c:v>
                </c:pt>
                <c:pt idx="6">
                  <c:v>0.3</c:v>
                </c:pt>
              </c:numCache>
            </c:numRef>
          </c:xVal>
          <c:yVal>
            <c:numRef>
              <c:f>'Q2'!$C$38:$I$38</c:f>
              <c:numCache>
                <c:formatCode>_("$"* #,##0.00_);_("$"* \(#,##0.00\);_("$"* "-"??_);_(@_)</c:formatCode>
                <c:ptCount val="7"/>
                <c:pt idx="0">
                  <c:v>-310443.74142352468</c:v>
                </c:pt>
                <c:pt idx="1">
                  <c:v>-14762.373409665655</c:v>
                </c:pt>
                <c:pt idx="2">
                  <c:v>280918.99460419314</c:v>
                </c:pt>
                <c:pt idx="3">
                  <c:v>576600.3626180524</c:v>
                </c:pt>
                <c:pt idx="4">
                  <c:v>872281.7306319112</c:v>
                </c:pt>
                <c:pt idx="5">
                  <c:v>1167963.0986457695</c:v>
                </c:pt>
                <c:pt idx="6">
                  <c:v>1463644.4666596288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FCE-4743-8466-C727ADB56F09}"/>
            </c:ext>
          </c:extLst>
        </c:ser>
        <c:ser>
          <c:idx val="1"/>
          <c:order val="1"/>
          <c:tx>
            <c:strRef>
              <c:f>'Q2'!$A$40</c:f>
              <c:strCache>
                <c:ptCount val="1"/>
                <c:pt idx="0">
                  <c:v>Variable costs per ton of final product</c:v>
                </c:pt>
              </c:strCache>
            </c:strRef>
          </c:tx>
          <c:spPr>
            <a:ln w="22225" cap="rnd">
              <a:solidFill>
                <a:schemeClr val="accent2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circle"/>
            <c:size val="3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2">
                    <a:satMod val="175000"/>
                    <a:alpha val="25000"/>
                  </a:schemeClr>
                </a:glow>
              </a:effectLst>
            </c:spPr>
          </c:marker>
          <c:xVal>
            <c:numRef>
              <c:f>'Q2'!$C$40:$I$40</c:f>
              <c:numCache>
                <c:formatCode>0%</c:formatCode>
                <c:ptCount val="7"/>
                <c:pt idx="0">
                  <c:v>-0.3</c:v>
                </c:pt>
                <c:pt idx="1">
                  <c:v>-0.2</c:v>
                </c:pt>
                <c:pt idx="2">
                  <c:v>-0.1</c:v>
                </c:pt>
                <c:pt idx="3">
                  <c:v>0</c:v>
                </c:pt>
                <c:pt idx="4">
                  <c:v>0.1</c:v>
                </c:pt>
                <c:pt idx="5">
                  <c:v>0.2</c:v>
                </c:pt>
                <c:pt idx="6">
                  <c:v>0.3</c:v>
                </c:pt>
              </c:numCache>
            </c:numRef>
          </c:xVal>
          <c:yVal>
            <c:numRef>
              <c:f>'Q2'!$C$41:$I$41</c:f>
              <c:numCache>
                <c:formatCode>_("$"* #,##0.00_);_("$"* \(#,##0.00\);_("$"* "-"??_);_(@_)</c:formatCode>
                <c:ptCount val="7"/>
                <c:pt idx="0">
                  <c:v>3237732.6747427834</c:v>
                </c:pt>
                <c:pt idx="1">
                  <c:v>2350688.5707012052</c:v>
                </c:pt>
                <c:pt idx="2">
                  <c:v>1463644.4666596288</c:v>
                </c:pt>
                <c:pt idx="3">
                  <c:v>576600.3626180524</c:v>
                </c:pt>
                <c:pt idx="4">
                  <c:v>-310443.74142352585</c:v>
                </c:pt>
                <c:pt idx="5">
                  <c:v>-1197487.8454651013</c:v>
                </c:pt>
                <c:pt idx="6">
                  <c:v>-2084531.9495066779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FCE-4743-8466-C727ADB56F09}"/>
            </c:ext>
          </c:extLst>
        </c:ser>
        <c:ser>
          <c:idx val="2"/>
          <c:order val="2"/>
          <c:tx>
            <c:strRef>
              <c:f>'Q2'!$A$43</c:f>
              <c:strCache>
                <c:ptCount val="1"/>
                <c:pt idx="0">
                  <c:v>Salvage value of the processing equipment</c:v>
                </c:pt>
              </c:strCache>
            </c:strRef>
          </c:tx>
          <c:spPr>
            <a:ln w="22225" cap="rnd">
              <a:solidFill>
                <a:schemeClr val="accent3"/>
              </a:solidFill>
            </a:ln>
            <a:effectLst>
              <a:glow rad="139700">
                <a:schemeClr val="accent3">
                  <a:satMod val="175000"/>
                  <a:alpha val="14000"/>
                </a:schemeClr>
              </a:glow>
            </a:effectLst>
          </c:spPr>
          <c:marker>
            <c:symbol val="circle"/>
            <c:size val="3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3">
                    <a:satMod val="175000"/>
                    <a:alpha val="25000"/>
                  </a:schemeClr>
                </a:glow>
              </a:effectLst>
            </c:spPr>
          </c:marker>
          <c:xVal>
            <c:numRef>
              <c:f>'Q2'!$C$43:$I$43</c:f>
              <c:numCache>
                <c:formatCode>0%</c:formatCode>
                <c:ptCount val="7"/>
                <c:pt idx="0">
                  <c:v>-0.3</c:v>
                </c:pt>
                <c:pt idx="1">
                  <c:v>-0.2</c:v>
                </c:pt>
                <c:pt idx="2">
                  <c:v>-0.1</c:v>
                </c:pt>
                <c:pt idx="3">
                  <c:v>0</c:v>
                </c:pt>
                <c:pt idx="4">
                  <c:v>0.1</c:v>
                </c:pt>
                <c:pt idx="5">
                  <c:v>0.2</c:v>
                </c:pt>
                <c:pt idx="6">
                  <c:v>0.3</c:v>
                </c:pt>
              </c:numCache>
            </c:numRef>
          </c:xVal>
          <c:yVal>
            <c:numRef>
              <c:f>'Q2'!$C$44:$I$44</c:f>
              <c:numCache>
                <c:formatCode>_("$"* #,##0.00_);_("$"* \(#,##0.00\);_("$"* "-"??_);_(@_)</c:formatCode>
                <c:ptCount val="7"/>
                <c:pt idx="0">
                  <c:v>558438.41391857201</c:v>
                </c:pt>
                <c:pt idx="1">
                  <c:v>564492.39681839896</c:v>
                </c:pt>
                <c:pt idx="2">
                  <c:v>570546.37971822545</c:v>
                </c:pt>
                <c:pt idx="3">
                  <c:v>576600.3626180524</c:v>
                </c:pt>
                <c:pt idx="4">
                  <c:v>582654.34551787889</c:v>
                </c:pt>
                <c:pt idx="5">
                  <c:v>588708.32841770584</c:v>
                </c:pt>
                <c:pt idx="6">
                  <c:v>594762.31131753279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FCE-4743-8466-C727ADB56F09}"/>
            </c:ext>
          </c:extLst>
        </c:ser>
        <c:ser>
          <c:idx val="3"/>
          <c:order val="3"/>
          <c:tx>
            <c:strRef>
              <c:f>'Q2'!$A$46</c:f>
              <c:strCache>
                <c:ptCount val="1"/>
                <c:pt idx="0">
                  <c:v>Selling price per ton</c:v>
                </c:pt>
              </c:strCache>
            </c:strRef>
          </c:tx>
          <c:spPr>
            <a:ln w="22225" cap="rnd">
              <a:solidFill>
                <a:schemeClr val="accent4"/>
              </a:solidFill>
            </a:ln>
            <a:effectLst>
              <a:glow rad="139700">
                <a:schemeClr val="accent4">
                  <a:satMod val="175000"/>
                  <a:alpha val="14000"/>
                </a:schemeClr>
              </a:glow>
            </a:effectLst>
          </c:spPr>
          <c:marker>
            <c:symbol val="circle"/>
            <c:size val="3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4">
                    <a:satMod val="175000"/>
                    <a:alpha val="25000"/>
                  </a:schemeClr>
                </a:glow>
              </a:effectLst>
            </c:spPr>
          </c:marker>
          <c:xVal>
            <c:numRef>
              <c:f>'Q2'!$C$46:$I$46</c:f>
              <c:numCache>
                <c:formatCode>0%</c:formatCode>
                <c:ptCount val="7"/>
                <c:pt idx="0">
                  <c:v>-0.3</c:v>
                </c:pt>
                <c:pt idx="1">
                  <c:v>-0.2</c:v>
                </c:pt>
                <c:pt idx="2">
                  <c:v>-0.1</c:v>
                </c:pt>
                <c:pt idx="3">
                  <c:v>0</c:v>
                </c:pt>
                <c:pt idx="4">
                  <c:v>0.1</c:v>
                </c:pt>
                <c:pt idx="5">
                  <c:v>0.2</c:v>
                </c:pt>
                <c:pt idx="6">
                  <c:v>0.3</c:v>
                </c:pt>
              </c:numCache>
            </c:numRef>
          </c:xVal>
          <c:yVal>
            <c:numRef>
              <c:f>'Q2'!$C$47:$I$47</c:f>
              <c:numCache>
                <c:formatCode>_("$"* #,##0.00_);_("$"* \(#,##0.00\);_("$"* "-"??_);_(@_)</c:formatCode>
                <c:ptCount val="7"/>
                <c:pt idx="0">
                  <c:v>-2971576.053548255</c:v>
                </c:pt>
                <c:pt idx="1">
                  <c:v>-1788850.5814928189</c:v>
                </c:pt>
                <c:pt idx="2">
                  <c:v>-606125.10943738348</c:v>
                </c:pt>
                <c:pt idx="3">
                  <c:v>576600.3626180524</c:v>
                </c:pt>
                <c:pt idx="4">
                  <c:v>1759325.834673488</c:v>
                </c:pt>
                <c:pt idx="5">
                  <c:v>2942051.3067289237</c:v>
                </c:pt>
                <c:pt idx="6">
                  <c:v>4124776.7787843579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FCE-4743-8466-C727ADB56F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5317871"/>
        <c:axId val="2105322671"/>
      </c:scatterChart>
      <c:valAx>
        <c:axId val="21053178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Sensitivity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5322671"/>
        <c:crosses val="autoZero"/>
        <c:crossBetween val="midCat"/>
      </c:valAx>
      <c:valAx>
        <c:axId val="2105322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531787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Sensitivity Diagram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'Q3'!$A$37</c:f>
              <c:strCache>
                <c:ptCount val="1"/>
                <c:pt idx="0">
                  <c:v>Expected avg rock salt quantity (tons)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circle"/>
            <c:size val="3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1">
                    <a:satMod val="175000"/>
                    <a:alpha val="25000"/>
                  </a:schemeClr>
                </a:glow>
              </a:effectLst>
            </c:spPr>
          </c:marker>
          <c:xVal>
            <c:numRef>
              <c:f>'Q3'!$C$37:$I$37</c:f>
              <c:numCache>
                <c:formatCode>0%</c:formatCode>
                <c:ptCount val="7"/>
                <c:pt idx="0">
                  <c:v>-0.3</c:v>
                </c:pt>
                <c:pt idx="1">
                  <c:v>-0.2</c:v>
                </c:pt>
                <c:pt idx="2">
                  <c:v>-0.1</c:v>
                </c:pt>
                <c:pt idx="3">
                  <c:v>0</c:v>
                </c:pt>
                <c:pt idx="4">
                  <c:v>0.1</c:v>
                </c:pt>
                <c:pt idx="5">
                  <c:v>0.2</c:v>
                </c:pt>
                <c:pt idx="6">
                  <c:v>0.3</c:v>
                </c:pt>
              </c:numCache>
            </c:numRef>
          </c:xVal>
          <c:yVal>
            <c:numRef>
              <c:f>'Q3'!$C$38:$I$38</c:f>
              <c:numCache>
                <c:formatCode>_("$"* #,##0.00_);_("$"* \(#,##0.00\);_("$"* "-"??_);_(@_)</c:formatCode>
                <c:ptCount val="7"/>
                <c:pt idx="0">
                  <c:v>-310443.74142352468</c:v>
                </c:pt>
                <c:pt idx="1">
                  <c:v>-14762.373409665655</c:v>
                </c:pt>
                <c:pt idx="2">
                  <c:v>280918.99460419314</c:v>
                </c:pt>
                <c:pt idx="3">
                  <c:v>576600.3626180524</c:v>
                </c:pt>
                <c:pt idx="4">
                  <c:v>872281.7306319112</c:v>
                </c:pt>
                <c:pt idx="5">
                  <c:v>1167963.0986457695</c:v>
                </c:pt>
                <c:pt idx="6">
                  <c:v>1463644.4666596288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70-45C2-B223-38088A23E7EC}"/>
            </c:ext>
          </c:extLst>
        </c:ser>
        <c:ser>
          <c:idx val="1"/>
          <c:order val="1"/>
          <c:tx>
            <c:strRef>
              <c:f>'Q3'!$A$40</c:f>
              <c:strCache>
                <c:ptCount val="1"/>
                <c:pt idx="0">
                  <c:v>Variable costs per ton of final product</c:v>
                </c:pt>
              </c:strCache>
            </c:strRef>
          </c:tx>
          <c:spPr>
            <a:ln w="22225" cap="rnd">
              <a:solidFill>
                <a:schemeClr val="accent2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circle"/>
            <c:size val="3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2">
                    <a:satMod val="175000"/>
                    <a:alpha val="25000"/>
                  </a:schemeClr>
                </a:glow>
              </a:effectLst>
            </c:spPr>
          </c:marker>
          <c:xVal>
            <c:numRef>
              <c:f>'Q3'!$C$40:$I$40</c:f>
              <c:numCache>
                <c:formatCode>0%</c:formatCode>
                <c:ptCount val="7"/>
                <c:pt idx="0">
                  <c:v>-0.3</c:v>
                </c:pt>
                <c:pt idx="1">
                  <c:v>-0.2</c:v>
                </c:pt>
                <c:pt idx="2">
                  <c:v>-0.1</c:v>
                </c:pt>
                <c:pt idx="3">
                  <c:v>0</c:v>
                </c:pt>
                <c:pt idx="4">
                  <c:v>0.1</c:v>
                </c:pt>
                <c:pt idx="5">
                  <c:v>0.2</c:v>
                </c:pt>
                <c:pt idx="6">
                  <c:v>0.3</c:v>
                </c:pt>
              </c:numCache>
            </c:numRef>
          </c:xVal>
          <c:yVal>
            <c:numRef>
              <c:f>'Q3'!$C$41:$I$41</c:f>
              <c:numCache>
                <c:formatCode>_("$"* #,##0.00_);_("$"* \(#,##0.00\);_("$"* "-"??_);_(@_)</c:formatCode>
                <c:ptCount val="7"/>
                <c:pt idx="0">
                  <c:v>3237732.6747427834</c:v>
                </c:pt>
                <c:pt idx="1">
                  <c:v>2350688.5707012052</c:v>
                </c:pt>
                <c:pt idx="2">
                  <c:v>1463644.4666596288</c:v>
                </c:pt>
                <c:pt idx="3">
                  <c:v>576600.3626180524</c:v>
                </c:pt>
                <c:pt idx="4">
                  <c:v>-310443.74142352585</c:v>
                </c:pt>
                <c:pt idx="5">
                  <c:v>-1197487.8454651013</c:v>
                </c:pt>
                <c:pt idx="6">
                  <c:v>-2084531.9495066779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70-45C2-B223-38088A23E7EC}"/>
            </c:ext>
          </c:extLst>
        </c:ser>
        <c:ser>
          <c:idx val="2"/>
          <c:order val="2"/>
          <c:tx>
            <c:strRef>
              <c:f>'Q3'!$A$43</c:f>
              <c:strCache>
                <c:ptCount val="1"/>
                <c:pt idx="0">
                  <c:v>Salvage value of the processing equipment</c:v>
                </c:pt>
              </c:strCache>
            </c:strRef>
          </c:tx>
          <c:spPr>
            <a:ln w="22225" cap="rnd">
              <a:solidFill>
                <a:schemeClr val="accent3"/>
              </a:solidFill>
            </a:ln>
            <a:effectLst>
              <a:glow rad="139700">
                <a:schemeClr val="accent3">
                  <a:satMod val="175000"/>
                  <a:alpha val="14000"/>
                </a:schemeClr>
              </a:glow>
            </a:effectLst>
          </c:spPr>
          <c:marker>
            <c:symbol val="circle"/>
            <c:size val="3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3">
                    <a:satMod val="175000"/>
                    <a:alpha val="25000"/>
                  </a:schemeClr>
                </a:glow>
              </a:effectLst>
            </c:spPr>
          </c:marker>
          <c:xVal>
            <c:numRef>
              <c:f>'Q3'!$C$43:$I$43</c:f>
              <c:numCache>
                <c:formatCode>0%</c:formatCode>
                <c:ptCount val="7"/>
                <c:pt idx="0">
                  <c:v>-0.3</c:v>
                </c:pt>
                <c:pt idx="1">
                  <c:v>-0.2</c:v>
                </c:pt>
                <c:pt idx="2">
                  <c:v>-0.1</c:v>
                </c:pt>
                <c:pt idx="3">
                  <c:v>0</c:v>
                </c:pt>
                <c:pt idx="4">
                  <c:v>0.1</c:v>
                </c:pt>
                <c:pt idx="5">
                  <c:v>0.2</c:v>
                </c:pt>
                <c:pt idx="6">
                  <c:v>0.3</c:v>
                </c:pt>
              </c:numCache>
            </c:numRef>
          </c:xVal>
          <c:yVal>
            <c:numRef>
              <c:f>'Q3'!$C$44:$I$44</c:f>
              <c:numCache>
                <c:formatCode>_("$"* #,##0.00_);_("$"* \(#,##0.00\);_("$"* "-"??_);_(@_)</c:formatCode>
                <c:ptCount val="7"/>
                <c:pt idx="0">
                  <c:v>558438.41391857201</c:v>
                </c:pt>
                <c:pt idx="1">
                  <c:v>564492.39681839896</c:v>
                </c:pt>
                <c:pt idx="2">
                  <c:v>570546.37971822545</c:v>
                </c:pt>
                <c:pt idx="3">
                  <c:v>576600.3626180524</c:v>
                </c:pt>
                <c:pt idx="4">
                  <c:v>582654.34551787889</c:v>
                </c:pt>
                <c:pt idx="5">
                  <c:v>588708.32841770584</c:v>
                </c:pt>
                <c:pt idx="6">
                  <c:v>594762.31131753279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70-45C2-B223-38088A23E7EC}"/>
            </c:ext>
          </c:extLst>
        </c:ser>
        <c:ser>
          <c:idx val="3"/>
          <c:order val="3"/>
          <c:tx>
            <c:strRef>
              <c:f>'Q3'!$A$46</c:f>
              <c:strCache>
                <c:ptCount val="1"/>
                <c:pt idx="0">
                  <c:v>Selling price per ton</c:v>
                </c:pt>
              </c:strCache>
            </c:strRef>
          </c:tx>
          <c:spPr>
            <a:ln w="22225" cap="rnd">
              <a:solidFill>
                <a:schemeClr val="accent4"/>
              </a:solidFill>
            </a:ln>
            <a:effectLst>
              <a:glow rad="139700">
                <a:schemeClr val="accent4">
                  <a:satMod val="175000"/>
                  <a:alpha val="14000"/>
                </a:schemeClr>
              </a:glow>
            </a:effectLst>
          </c:spPr>
          <c:marker>
            <c:symbol val="circle"/>
            <c:size val="3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4">
                    <a:satMod val="175000"/>
                    <a:alpha val="25000"/>
                  </a:schemeClr>
                </a:glow>
              </a:effectLst>
            </c:spPr>
          </c:marker>
          <c:xVal>
            <c:numRef>
              <c:f>'Q3'!$C$46:$I$46</c:f>
              <c:numCache>
                <c:formatCode>0%</c:formatCode>
                <c:ptCount val="7"/>
                <c:pt idx="0">
                  <c:v>-0.3</c:v>
                </c:pt>
                <c:pt idx="1">
                  <c:v>-0.2</c:v>
                </c:pt>
                <c:pt idx="2">
                  <c:v>-0.1</c:v>
                </c:pt>
                <c:pt idx="3">
                  <c:v>0</c:v>
                </c:pt>
                <c:pt idx="4">
                  <c:v>0.1</c:v>
                </c:pt>
                <c:pt idx="5">
                  <c:v>0.2</c:v>
                </c:pt>
                <c:pt idx="6">
                  <c:v>0.3</c:v>
                </c:pt>
              </c:numCache>
            </c:numRef>
          </c:xVal>
          <c:yVal>
            <c:numRef>
              <c:f>'Q3'!$C$47:$I$47</c:f>
              <c:numCache>
                <c:formatCode>_("$"* #,##0.00_);_("$"* \(#,##0.00\);_("$"* "-"??_);_(@_)</c:formatCode>
                <c:ptCount val="7"/>
                <c:pt idx="0">
                  <c:v>-2971576.053548255</c:v>
                </c:pt>
                <c:pt idx="1">
                  <c:v>-1788850.5814928189</c:v>
                </c:pt>
                <c:pt idx="2">
                  <c:v>-606125.10943738348</c:v>
                </c:pt>
                <c:pt idx="3">
                  <c:v>576600.3626180524</c:v>
                </c:pt>
                <c:pt idx="4">
                  <c:v>1759325.834673488</c:v>
                </c:pt>
                <c:pt idx="5">
                  <c:v>2942051.3067289237</c:v>
                </c:pt>
                <c:pt idx="6">
                  <c:v>4124776.7787843579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70-45C2-B223-38088A23E7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5317871"/>
        <c:axId val="2105322671"/>
      </c:scatterChart>
      <c:valAx>
        <c:axId val="21053178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Sensitivity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5322671"/>
        <c:crosses val="autoZero"/>
        <c:crossBetween val="midCat"/>
      </c:valAx>
      <c:valAx>
        <c:axId val="2105322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531787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5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3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7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2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  <a:round/>
      </a:ln>
    </cs:spPr>
    <cs:defRPr sz="900" kern="1200"/>
    <cs:bodyPr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5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3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7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2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  <a:round/>
      </a:ln>
    </cs:spPr>
    <cs:defRPr sz="900" kern="1200"/>
    <cs:bodyPr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232173</xdr:colOff>
      <xdr:row>16</xdr:row>
      <xdr:rowOff>98823</xdr:rowOff>
    </xdr:from>
    <xdr:to>
      <xdr:col>17</xdr:col>
      <xdr:colOff>291704</xdr:colOff>
      <xdr:row>30</xdr:row>
      <xdr:rowOff>175023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3CC806-C872-FD15-CF07-C5485C2074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232173</xdr:colOff>
      <xdr:row>16</xdr:row>
      <xdr:rowOff>98823</xdr:rowOff>
    </xdr:from>
    <xdr:to>
      <xdr:col>17</xdr:col>
      <xdr:colOff>291704</xdr:colOff>
      <xdr:row>30</xdr:row>
      <xdr:rowOff>175023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0C6C045-8BEA-4952-9AE1-438B4DE4D9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4"/>
  <sheetViews>
    <sheetView zoomScale="80" zoomScaleNormal="80" workbookViewId="0">
      <selection activeCell="A2" sqref="A2:B13"/>
    </sheetView>
  </sheetViews>
  <sheetFormatPr defaultRowHeight="15" x14ac:dyDescent="0.25"/>
  <cols>
    <col min="1" max="1" width="41" bestFit="1" customWidth="1"/>
    <col min="2" max="2" width="15.85546875" bestFit="1" customWidth="1"/>
    <col min="3" max="3" width="23.85546875" customWidth="1"/>
    <col min="4" max="4" width="32.85546875" bestFit="1" customWidth="1"/>
    <col min="5" max="7" width="15.140625" bestFit="1" customWidth="1"/>
    <col min="10" max="10" width="13.42578125" bestFit="1" customWidth="1"/>
  </cols>
  <sheetData>
    <row r="1" spans="1:14" ht="32.25" thickBot="1" x14ac:dyDescent="0.3">
      <c r="J1" s="3" t="s">
        <v>6</v>
      </c>
      <c r="K1" s="3" t="s">
        <v>7</v>
      </c>
      <c r="L1" s="3" t="s">
        <v>8</v>
      </c>
    </row>
    <row r="2" spans="1:14" ht="15.75" thickBot="1" x14ac:dyDescent="0.3">
      <c r="A2" t="s">
        <v>0</v>
      </c>
      <c r="B2" s="1">
        <v>50000</v>
      </c>
      <c r="J2" s="4">
        <v>1</v>
      </c>
      <c r="K2" s="4">
        <v>33.33</v>
      </c>
      <c r="L2" s="4">
        <v>20</v>
      </c>
    </row>
    <row r="3" spans="1:14" ht="15.75" thickBot="1" x14ac:dyDescent="0.3">
      <c r="A3" t="s">
        <v>1</v>
      </c>
      <c r="B3" s="1">
        <v>80000</v>
      </c>
      <c r="J3" s="4">
        <v>2</v>
      </c>
      <c r="K3" s="4">
        <v>44.45</v>
      </c>
      <c r="L3" s="4">
        <v>32</v>
      </c>
    </row>
    <row r="4" spans="1:14" ht="15.75" thickBot="1" x14ac:dyDescent="0.3">
      <c r="A4" t="s">
        <v>2</v>
      </c>
      <c r="B4" s="2">
        <v>1600000</v>
      </c>
      <c r="J4" s="4">
        <v>3</v>
      </c>
      <c r="K4" s="4" t="s">
        <v>9</v>
      </c>
      <c r="L4" s="4">
        <v>19.2</v>
      </c>
    </row>
    <row r="5" spans="1:14" ht="15.75" thickBot="1" x14ac:dyDescent="0.3">
      <c r="A5" t="s">
        <v>4</v>
      </c>
      <c r="B5">
        <v>5</v>
      </c>
      <c r="J5" s="4">
        <v>4</v>
      </c>
      <c r="K5" s="4">
        <v>7.41</v>
      </c>
      <c r="L5" s="4" t="s">
        <v>10</v>
      </c>
    </row>
    <row r="6" spans="1:14" ht="15.75" thickBot="1" x14ac:dyDescent="0.3">
      <c r="A6" t="s">
        <v>11</v>
      </c>
      <c r="B6" s="5">
        <v>500000</v>
      </c>
      <c r="J6" s="4">
        <v>5</v>
      </c>
      <c r="K6" s="4"/>
      <c r="L6" s="4">
        <v>11.52</v>
      </c>
    </row>
    <row r="7" spans="1:14" ht="15.75" thickBot="1" x14ac:dyDescent="0.3">
      <c r="A7" t="s">
        <v>12</v>
      </c>
      <c r="B7" s="2">
        <v>45</v>
      </c>
    </row>
    <row r="8" spans="1:14" ht="15.75" thickBot="1" x14ac:dyDescent="0.3">
      <c r="A8" t="s">
        <v>5</v>
      </c>
      <c r="B8">
        <v>5</v>
      </c>
      <c r="J8" s="4">
        <v>20</v>
      </c>
      <c r="K8" s="4">
        <v>32</v>
      </c>
      <c r="L8" s="4">
        <v>19.2</v>
      </c>
      <c r="M8" s="4">
        <v>11.52</v>
      </c>
      <c r="N8" s="4">
        <v>11.52</v>
      </c>
    </row>
    <row r="9" spans="1:14" x14ac:dyDescent="0.25">
      <c r="A9" t="s">
        <v>33</v>
      </c>
      <c r="B9" s="2">
        <v>150000</v>
      </c>
      <c r="J9" s="9">
        <f>J8/100</f>
        <v>0.2</v>
      </c>
      <c r="K9" s="9">
        <f t="shared" ref="K9:N9" si="0">K8/100</f>
        <v>0.32</v>
      </c>
      <c r="L9" s="9">
        <f t="shared" si="0"/>
        <v>0.192</v>
      </c>
      <c r="M9" s="9">
        <f t="shared" si="0"/>
        <v>0.1152</v>
      </c>
      <c r="N9" s="9">
        <f t="shared" si="0"/>
        <v>0.1152</v>
      </c>
    </row>
    <row r="10" spans="1:14" x14ac:dyDescent="0.25">
      <c r="A10" t="s">
        <v>13</v>
      </c>
      <c r="B10" s="2">
        <v>60</v>
      </c>
    </row>
    <row r="11" spans="1:14" x14ac:dyDescent="0.25">
      <c r="A11" t="s">
        <v>14</v>
      </c>
      <c r="B11" s="2">
        <v>115000</v>
      </c>
      <c r="D11" t="s">
        <v>15</v>
      </c>
    </row>
    <row r="12" spans="1:14" x14ac:dyDescent="0.25">
      <c r="A12" t="s">
        <v>34</v>
      </c>
      <c r="B12" s="6">
        <v>0.1</v>
      </c>
    </row>
    <row r="13" spans="1:14" x14ac:dyDescent="0.25">
      <c r="A13" t="s">
        <v>16</v>
      </c>
      <c r="B13" s="6">
        <v>0.35</v>
      </c>
    </row>
    <row r="15" spans="1:14" x14ac:dyDescent="0.25">
      <c r="A15" t="s">
        <v>17</v>
      </c>
      <c r="B15">
        <v>0</v>
      </c>
      <c r="C15">
        <v>1</v>
      </c>
      <c r="D15">
        <v>2</v>
      </c>
      <c r="E15">
        <v>3</v>
      </c>
      <c r="F15">
        <v>4</v>
      </c>
      <c r="G15">
        <v>5</v>
      </c>
    </row>
    <row r="16" spans="1:14" x14ac:dyDescent="0.25">
      <c r="A16" t="s">
        <v>18</v>
      </c>
      <c r="B16" s="2">
        <f>-B4-B11</f>
        <v>-1715000</v>
      </c>
    </row>
    <row r="17" spans="1:10" x14ac:dyDescent="0.25">
      <c r="A17" t="s">
        <v>19</v>
      </c>
      <c r="C17" s="7">
        <f>$B$10*$B$3</f>
        <v>4800000</v>
      </c>
      <c r="D17" s="7">
        <f t="shared" ref="D17:G17" si="1">$B$10*$B$3</f>
        <v>4800000</v>
      </c>
      <c r="E17" s="7">
        <f t="shared" si="1"/>
        <v>4800000</v>
      </c>
      <c r="F17" s="7">
        <f t="shared" si="1"/>
        <v>4800000</v>
      </c>
      <c r="G17" s="7">
        <f t="shared" si="1"/>
        <v>4800000</v>
      </c>
      <c r="I17" t="s">
        <v>35</v>
      </c>
    </row>
    <row r="18" spans="1:10" x14ac:dyDescent="0.25">
      <c r="A18" t="s">
        <v>20</v>
      </c>
      <c r="C18" s="2">
        <f>($B$7*$B$3)</f>
        <v>3600000</v>
      </c>
      <c r="D18" s="2">
        <f t="shared" ref="D18:G18" si="2">($B$7*$B$3)</f>
        <v>3600000</v>
      </c>
      <c r="E18" s="2">
        <f t="shared" si="2"/>
        <v>3600000</v>
      </c>
      <c r="F18" s="2">
        <f t="shared" si="2"/>
        <v>3600000</v>
      </c>
      <c r="G18" s="2">
        <f t="shared" si="2"/>
        <v>3600000</v>
      </c>
    </row>
    <row r="19" spans="1:10" x14ac:dyDescent="0.25">
      <c r="A19" t="s">
        <v>21</v>
      </c>
      <c r="C19" s="5">
        <f>$B$6</f>
        <v>500000</v>
      </c>
      <c r="D19" s="5">
        <f t="shared" ref="D19:G19" si="3">$B$6</f>
        <v>500000</v>
      </c>
      <c r="E19" s="5">
        <f t="shared" si="3"/>
        <v>500000</v>
      </c>
      <c r="F19" s="5">
        <f t="shared" si="3"/>
        <v>500000</v>
      </c>
      <c r="G19" s="5">
        <f t="shared" si="3"/>
        <v>500000</v>
      </c>
    </row>
    <row r="20" spans="1:10" x14ac:dyDescent="0.25">
      <c r="A20" t="s">
        <v>22</v>
      </c>
      <c r="C20" s="7">
        <f>$B$4*J9</f>
        <v>320000</v>
      </c>
      <c r="D20" s="7">
        <f t="shared" ref="D20:G20" si="4">$B$4*K9</f>
        <v>512000</v>
      </c>
      <c r="E20" s="7">
        <f t="shared" si="4"/>
        <v>307200</v>
      </c>
      <c r="F20" s="7">
        <f t="shared" si="4"/>
        <v>184320</v>
      </c>
      <c r="G20" s="7">
        <f t="shared" si="4"/>
        <v>184320</v>
      </c>
      <c r="I20" t="s">
        <v>36</v>
      </c>
      <c r="J20" s="7">
        <f>B4*(100%-(SUM(J9:N9)))</f>
        <v>92160.00000000016</v>
      </c>
    </row>
    <row r="21" spans="1:10" x14ac:dyDescent="0.25">
      <c r="A21" t="s">
        <v>23</v>
      </c>
      <c r="C21" s="7">
        <f>C17-C18-C19-C20</f>
        <v>380000</v>
      </c>
      <c r="D21" s="7">
        <f t="shared" ref="D21:G21" si="5">D17-D18-D19-D20</f>
        <v>188000</v>
      </c>
      <c r="E21" s="7">
        <f t="shared" si="5"/>
        <v>392800</v>
      </c>
      <c r="F21" s="7">
        <f t="shared" si="5"/>
        <v>515680</v>
      </c>
      <c r="G21" s="7">
        <f t="shared" si="5"/>
        <v>515680</v>
      </c>
      <c r="I21" t="s">
        <v>37</v>
      </c>
      <c r="J21" s="7">
        <f>B9-J20</f>
        <v>57839.99999999984</v>
      </c>
    </row>
    <row r="22" spans="1:10" x14ac:dyDescent="0.25">
      <c r="A22" t="s">
        <v>24</v>
      </c>
      <c r="C22" s="7">
        <f>C21*$B$13</f>
        <v>133000</v>
      </c>
      <c r="D22" s="7">
        <f t="shared" ref="D22:G22" si="6">D21*$B$13</f>
        <v>65800</v>
      </c>
      <c r="E22" s="7">
        <f t="shared" si="6"/>
        <v>137480</v>
      </c>
      <c r="F22" s="7">
        <f t="shared" si="6"/>
        <v>180488</v>
      </c>
      <c r="G22" s="7">
        <f t="shared" si="6"/>
        <v>180488</v>
      </c>
      <c r="I22" t="s">
        <v>24</v>
      </c>
      <c r="J22" s="7">
        <f>J21*B13</f>
        <v>20243.999999999942</v>
      </c>
    </row>
    <row r="23" spans="1:10" x14ac:dyDescent="0.25">
      <c r="A23" t="s">
        <v>25</v>
      </c>
      <c r="C23" s="7">
        <f>C21-C22</f>
        <v>247000</v>
      </c>
      <c r="D23" s="7">
        <f t="shared" ref="D23:G23" si="7">D21-D22</f>
        <v>122200</v>
      </c>
      <c r="E23" s="7">
        <f t="shared" si="7"/>
        <v>255320</v>
      </c>
      <c r="F23" s="7">
        <f t="shared" si="7"/>
        <v>335192</v>
      </c>
      <c r="G23" s="7">
        <f t="shared" si="7"/>
        <v>335192</v>
      </c>
      <c r="I23" t="s">
        <v>38</v>
      </c>
      <c r="J23" s="7">
        <f>B9-J22</f>
        <v>129756.00000000006</v>
      </c>
    </row>
    <row r="24" spans="1:10" x14ac:dyDescent="0.25">
      <c r="A24" t="s">
        <v>26</v>
      </c>
      <c r="C24" s="7">
        <f>C23+C20</f>
        <v>567000</v>
      </c>
      <c r="D24" s="7">
        <f t="shared" ref="D24:G24" si="8">D23+D20</f>
        <v>634200</v>
      </c>
      <c r="E24" s="7">
        <f t="shared" si="8"/>
        <v>562520</v>
      </c>
      <c r="F24" s="7">
        <f t="shared" si="8"/>
        <v>519512</v>
      </c>
      <c r="G24" s="7">
        <f t="shared" si="8"/>
        <v>519512</v>
      </c>
    </row>
    <row r="25" spans="1:10" x14ac:dyDescent="0.25">
      <c r="A25" t="s">
        <v>27</v>
      </c>
      <c r="G25" s="7">
        <f>B11+J23</f>
        <v>244756.00000000006</v>
      </c>
    </row>
    <row r="27" spans="1:10" x14ac:dyDescent="0.25">
      <c r="A27" t="s">
        <v>28</v>
      </c>
      <c r="B27" s="7">
        <f>SUM(B16,B24,B25)</f>
        <v>-1715000</v>
      </c>
      <c r="C27" s="7">
        <f t="shared" ref="C27:G27" si="9">SUM(C16,C24,C25)</f>
        <v>567000</v>
      </c>
      <c r="D27" s="7">
        <f t="shared" si="9"/>
        <v>634200</v>
      </c>
      <c r="E27" s="7">
        <f t="shared" si="9"/>
        <v>562520</v>
      </c>
      <c r="F27" s="7">
        <f t="shared" si="9"/>
        <v>519512</v>
      </c>
      <c r="G27" s="7">
        <f t="shared" si="9"/>
        <v>764268</v>
      </c>
    </row>
    <row r="29" spans="1:10" x14ac:dyDescent="0.25">
      <c r="A29" t="s">
        <v>29</v>
      </c>
      <c r="B29" s="7">
        <f>NPV(B12,C27:G27)+B27</f>
        <v>576600.3626180524</v>
      </c>
    </row>
    <row r="30" spans="1:10" x14ac:dyDescent="0.25">
      <c r="A30" t="s">
        <v>30</v>
      </c>
      <c r="B30" s="10">
        <f>IRR(B27:G27)</f>
        <v>0.22077548205182551</v>
      </c>
    </row>
    <row r="31" spans="1:10" x14ac:dyDescent="0.25">
      <c r="A31" t="s">
        <v>31</v>
      </c>
      <c r="B31" s="10">
        <f>MIRR(B27:G27,B12,B12)</f>
        <v>0.16564857405838551</v>
      </c>
    </row>
    <row r="32" spans="1:10" x14ac:dyDescent="0.25">
      <c r="A32" t="s">
        <v>32</v>
      </c>
      <c r="B32" s="11">
        <f>NPV(B12,C27:G27)/-B27</f>
        <v>1.3362101239755408</v>
      </c>
    </row>
    <row r="34" spans="1:2" x14ac:dyDescent="0.25">
      <c r="A34" t="s">
        <v>39</v>
      </c>
      <c r="B34" t="s">
        <v>40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17C66-924F-4827-A609-D4E581870A22}">
  <dimension ref="A1:N47"/>
  <sheetViews>
    <sheetView zoomScale="70" zoomScaleNormal="70" workbookViewId="0">
      <selection activeCell="B2" sqref="B2:B13"/>
    </sheetView>
  </sheetViews>
  <sheetFormatPr defaultRowHeight="15" x14ac:dyDescent="0.25"/>
  <cols>
    <col min="1" max="1" width="41" bestFit="1" customWidth="1"/>
    <col min="2" max="2" width="49" customWidth="1"/>
    <col min="3" max="3" width="23.85546875" customWidth="1"/>
    <col min="4" max="4" width="33" bestFit="1" customWidth="1"/>
    <col min="5" max="7" width="16.85546875" bestFit="1" customWidth="1"/>
    <col min="8" max="8" width="16.7109375" bestFit="1" customWidth="1"/>
    <col min="9" max="9" width="30.7109375" bestFit="1" customWidth="1"/>
    <col min="10" max="10" width="14.42578125" bestFit="1" customWidth="1"/>
    <col min="11" max="11" width="13" bestFit="1" customWidth="1"/>
  </cols>
  <sheetData>
    <row r="1" spans="1:14" ht="32.25" thickBot="1" x14ac:dyDescent="0.3">
      <c r="C1" t="s">
        <v>3</v>
      </c>
      <c r="J1" s="3" t="s">
        <v>6</v>
      </c>
      <c r="K1" s="3" t="s">
        <v>7</v>
      </c>
      <c r="L1" s="3" t="s">
        <v>8</v>
      </c>
    </row>
    <row r="2" spans="1:14" ht="15.75" thickBot="1" x14ac:dyDescent="0.3">
      <c r="A2" t="s">
        <v>0</v>
      </c>
      <c r="B2" s="1">
        <v>50000</v>
      </c>
      <c r="J2" s="4">
        <v>1</v>
      </c>
      <c r="K2" s="4">
        <v>33.33</v>
      </c>
      <c r="L2" s="4">
        <v>20</v>
      </c>
    </row>
    <row r="3" spans="1:14" ht="15.75" thickBot="1" x14ac:dyDescent="0.3">
      <c r="A3" t="s">
        <v>1</v>
      </c>
      <c r="B3" s="1">
        <f>80000*(1+C3)</f>
        <v>80000</v>
      </c>
      <c r="C3" s="8">
        <v>0</v>
      </c>
      <c r="J3" s="4">
        <v>2</v>
      </c>
      <c r="K3" s="4">
        <v>44.45</v>
      </c>
      <c r="L3" s="4">
        <v>32</v>
      </c>
    </row>
    <row r="4" spans="1:14" ht="15.75" thickBot="1" x14ac:dyDescent="0.3">
      <c r="A4" t="s">
        <v>2</v>
      </c>
      <c r="B4" s="2">
        <v>1600000</v>
      </c>
      <c r="J4" s="4">
        <v>3</v>
      </c>
      <c r="K4" s="4" t="s">
        <v>9</v>
      </c>
      <c r="L4" s="4">
        <v>19.2</v>
      </c>
    </row>
    <row r="5" spans="1:14" ht="15.75" thickBot="1" x14ac:dyDescent="0.3">
      <c r="A5" t="s">
        <v>4</v>
      </c>
      <c r="B5">
        <v>5</v>
      </c>
      <c r="J5" s="4">
        <v>4</v>
      </c>
      <c r="K5" s="4">
        <v>7.41</v>
      </c>
      <c r="L5" s="4" t="s">
        <v>10</v>
      </c>
    </row>
    <row r="6" spans="1:14" ht="15.75" thickBot="1" x14ac:dyDescent="0.3">
      <c r="A6" t="s">
        <v>11</v>
      </c>
      <c r="B6" s="5">
        <v>500000</v>
      </c>
      <c r="J6" s="4">
        <v>5</v>
      </c>
      <c r="K6" s="4"/>
      <c r="L6" s="4">
        <v>11.52</v>
      </c>
    </row>
    <row r="7" spans="1:14" ht="15.75" thickBot="1" x14ac:dyDescent="0.3">
      <c r="A7" t="s">
        <v>12</v>
      </c>
      <c r="B7" s="2">
        <f>45*(1+C7)</f>
        <v>45</v>
      </c>
      <c r="C7" s="8">
        <v>0</v>
      </c>
    </row>
    <row r="8" spans="1:14" ht="15.75" thickBot="1" x14ac:dyDescent="0.3">
      <c r="A8" t="s">
        <v>5</v>
      </c>
      <c r="B8">
        <v>5</v>
      </c>
      <c r="J8" s="4">
        <v>20</v>
      </c>
      <c r="K8" s="4">
        <v>32</v>
      </c>
      <c r="L8" s="4">
        <v>19.2</v>
      </c>
      <c r="M8" s="4">
        <v>11.52</v>
      </c>
      <c r="N8" s="4">
        <v>11.52</v>
      </c>
    </row>
    <row r="9" spans="1:14" x14ac:dyDescent="0.25">
      <c r="A9" t="s">
        <v>33</v>
      </c>
      <c r="B9" s="2">
        <f>150000*(1+$C$9)</f>
        <v>150000</v>
      </c>
      <c r="C9" s="8">
        <v>0</v>
      </c>
      <c r="J9" s="9">
        <f>J8/100</f>
        <v>0.2</v>
      </c>
      <c r="K9" s="9">
        <f t="shared" ref="K9:N9" si="0">K8/100</f>
        <v>0.32</v>
      </c>
      <c r="L9" s="9">
        <f t="shared" si="0"/>
        <v>0.192</v>
      </c>
      <c r="M9" s="9">
        <f t="shared" si="0"/>
        <v>0.1152</v>
      </c>
      <c r="N9" s="9">
        <f t="shared" si="0"/>
        <v>0.1152</v>
      </c>
    </row>
    <row r="10" spans="1:14" x14ac:dyDescent="0.25">
      <c r="A10" t="s">
        <v>13</v>
      </c>
      <c r="B10" s="2">
        <f>60*(1+C10)</f>
        <v>60</v>
      </c>
      <c r="C10" s="8">
        <v>0</v>
      </c>
    </row>
    <row r="11" spans="1:14" x14ac:dyDescent="0.25">
      <c r="A11" t="s">
        <v>14</v>
      </c>
      <c r="B11" s="2">
        <v>115000</v>
      </c>
      <c r="D11" t="s">
        <v>15</v>
      </c>
    </row>
    <row r="12" spans="1:14" x14ac:dyDescent="0.25">
      <c r="A12" t="s">
        <v>34</v>
      </c>
      <c r="B12" s="6">
        <f>10%*(1+$C$12)</f>
        <v>0.1</v>
      </c>
      <c r="C12" s="6">
        <v>0</v>
      </c>
    </row>
    <row r="13" spans="1:14" x14ac:dyDescent="0.25">
      <c r="A13" t="s">
        <v>16</v>
      </c>
      <c r="B13" s="6">
        <v>0.35</v>
      </c>
    </row>
    <row r="15" spans="1:14" x14ac:dyDescent="0.25">
      <c r="A15" t="s">
        <v>17</v>
      </c>
      <c r="B15">
        <v>0</v>
      </c>
      <c r="C15">
        <v>1</v>
      </c>
      <c r="D15">
        <v>2</v>
      </c>
      <c r="E15">
        <v>3</v>
      </c>
      <c r="F15">
        <v>4</v>
      </c>
      <c r="G15">
        <v>5</v>
      </c>
    </row>
    <row r="16" spans="1:14" x14ac:dyDescent="0.25">
      <c r="A16" t="s">
        <v>18</v>
      </c>
      <c r="B16" s="2">
        <f>-B4-B11</f>
        <v>-1715000</v>
      </c>
    </row>
    <row r="17" spans="1:10" x14ac:dyDescent="0.25">
      <c r="A17" t="s">
        <v>19</v>
      </c>
      <c r="C17" s="7">
        <f>$B$10*$B$3</f>
        <v>4800000</v>
      </c>
      <c r="D17" s="7">
        <f t="shared" ref="D17:G17" si="1">$B$10*$B$3</f>
        <v>4800000</v>
      </c>
      <c r="E17" s="7">
        <f t="shared" si="1"/>
        <v>4800000</v>
      </c>
      <c r="F17" s="7">
        <f t="shared" si="1"/>
        <v>4800000</v>
      </c>
      <c r="G17" s="7">
        <f t="shared" si="1"/>
        <v>4800000</v>
      </c>
      <c r="I17" t="s">
        <v>35</v>
      </c>
    </row>
    <row r="18" spans="1:10" x14ac:dyDescent="0.25">
      <c r="A18" t="s">
        <v>20</v>
      </c>
      <c r="C18" s="2">
        <f>($B$7*$B$3)</f>
        <v>3600000</v>
      </c>
      <c r="D18" s="2">
        <f t="shared" ref="D18:G18" si="2">($B$7*$B$3)</f>
        <v>3600000</v>
      </c>
      <c r="E18" s="2">
        <f t="shared" si="2"/>
        <v>3600000</v>
      </c>
      <c r="F18" s="2">
        <f t="shared" si="2"/>
        <v>3600000</v>
      </c>
      <c r="G18" s="2">
        <f t="shared" si="2"/>
        <v>3600000</v>
      </c>
    </row>
    <row r="19" spans="1:10" x14ac:dyDescent="0.25">
      <c r="A19" t="s">
        <v>21</v>
      </c>
      <c r="C19" s="5">
        <f>$B$6</f>
        <v>500000</v>
      </c>
      <c r="D19" s="5">
        <f t="shared" ref="D19:G19" si="3">$B$6</f>
        <v>500000</v>
      </c>
      <c r="E19" s="5">
        <f t="shared" si="3"/>
        <v>500000</v>
      </c>
      <c r="F19" s="5">
        <f t="shared" si="3"/>
        <v>500000</v>
      </c>
      <c r="G19" s="5">
        <f t="shared" si="3"/>
        <v>500000</v>
      </c>
    </row>
    <row r="20" spans="1:10" x14ac:dyDescent="0.25">
      <c r="A20" t="s">
        <v>22</v>
      </c>
      <c r="C20" s="7">
        <f>$B$4*J9</f>
        <v>320000</v>
      </c>
      <c r="D20" s="7">
        <f t="shared" ref="D20:G20" si="4">$B$4*K9</f>
        <v>512000</v>
      </c>
      <c r="E20" s="7">
        <f t="shared" si="4"/>
        <v>307200</v>
      </c>
      <c r="F20" s="7">
        <f t="shared" si="4"/>
        <v>184320</v>
      </c>
      <c r="G20" s="7">
        <f t="shared" si="4"/>
        <v>184320</v>
      </c>
      <c r="I20" t="s">
        <v>36</v>
      </c>
      <c r="J20" s="7">
        <f>B4*(100%-(SUM(J9:N9)))</f>
        <v>92160.00000000016</v>
      </c>
    </row>
    <row r="21" spans="1:10" x14ac:dyDescent="0.25">
      <c r="A21" t="s">
        <v>23</v>
      </c>
      <c r="C21" s="7">
        <f>C17-C18-C19-C20</f>
        <v>380000</v>
      </c>
      <c r="D21" s="7">
        <f t="shared" ref="D21:G21" si="5">D17-D18-D19-D20</f>
        <v>188000</v>
      </c>
      <c r="E21" s="7">
        <f t="shared" si="5"/>
        <v>392800</v>
      </c>
      <c r="F21" s="7">
        <f t="shared" si="5"/>
        <v>515680</v>
      </c>
      <c r="G21" s="7">
        <f t="shared" si="5"/>
        <v>515680</v>
      </c>
      <c r="I21" t="s">
        <v>37</v>
      </c>
      <c r="J21" s="7">
        <f>B9-J20</f>
        <v>57839.99999999984</v>
      </c>
    </row>
    <row r="22" spans="1:10" x14ac:dyDescent="0.25">
      <c r="A22" t="s">
        <v>24</v>
      </c>
      <c r="C22" s="7">
        <f>C21*$B$13</f>
        <v>133000</v>
      </c>
      <c r="D22" s="7">
        <f t="shared" ref="D22:G22" si="6">D21*$B$13</f>
        <v>65800</v>
      </c>
      <c r="E22" s="7">
        <f t="shared" si="6"/>
        <v>137480</v>
      </c>
      <c r="F22" s="7">
        <f t="shared" si="6"/>
        <v>180488</v>
      </c>
      <c r="G22" s="7">
        <f t="shared" si="6"/>
        <v>180488</v>
      </c>
      <c r="I22" t="s">
        <v>24</v>
      </c>
      <c r="J22" s="7">
        <f>J21*B13</f>
        <v>20243.999999999942</v>
      </c>
    </row>
    <row r="23" spans="1:10" x14ac:dyDescent="0.25">
      <c r="A23" t="s">
        <v>25</v>
      </c>
      <c r="C23" s="7">
        <f>C21-C22</f>
        <v>247000</v>
      </c>
      <c r="D23" s="7">
        <f t="shared" ref="D23:G23" si="7">D21-D22</f>
        <v>122200</v>
      </c>
      <c r="E23" s="7">
        <f t="shared" si="7"/>
        <v>255320</v>
      </c>
      <c r="F23" s="7">
        <f t="shared" si="7"/>
        <v>335192</v>
      </c>
      <c r="G23" s="7">
        <f t="shared" si="7"/>
        <v>335192</v>
      </c>
      <c r="I23" t="s">
        <v>38</v>
      </c>
      <c r="J23" s="7">
        <f>B9-J22</f>
        <v>129756.00000000006</v>
      </c>
    </row>
    <row r="24" spans="1:10" x14ac:dyDescent="0.25">
      <c r="A24" t="s">
        <v>26</v>
      </c>
      <c r="C24" s="7">
        <f>C23+C20</f>
        <v>567000</v>
      </c>
      <c r="D24" s="7">
        <f t="shared" ref="D24:G24" si="8">D23+D20</f>
        <v>634200</v>
      </c>
      <c r="E24" s="7">
        <f t="shared" si="8"/>
        <v>562520</v>
      </c>
      <c r="F24" s="7">
        <f t="shared" si="8"/>
        <v>519512</v>
      </c>
      <c r="G24" s="7">
        <f t="shared" si="8"/>
        <v>519512</v>
      </c>
    </row>
    <row r="25" spans="1:10" x14ac:dyDescent="0.25">
      <c r="A25" t="s">
        <v>27</v>
      </c>
      <c r="G25" s="7">
        <f>B11+J23</f>
        <v>244756.00000000006</v>
      </c>
    </row>
    <row r="27" spans="1:10" x14ac:dyDescent="0.25">
      <c r="A27" t="s">
        <v>28</v>
      </c>
      <c r="B27" s="7">
        <f>SUM(B16,B24,B25)</f>
        <v>-1715000</v>
      </c>
      <c r="C27" s="7">
        <f t="shared" ref="C27:G27" si="9">SUM(C16,C24,C25)</f>
        <v>567000</v>
      </c>
      <c r="D27" s="7">
        <f t="shared" si="9"/>
        <v>634200</v>
      </c>
      <c r="E27" s="7">
        <f t="shared" si="9"/>
        <v>562520</v>
      </c>
      <c r="F27" s="7">
        <f t="shared" si="9"/>
        <v>519512</v>
      </c>
      <c r="G27" s="7">
        <f t="shared" si="9"/>
        <v>764268</v>
      </c>
    </row>
    <row r="29" spans="1:10" x14ac:dyDescent="0.25">
      <c r="A29" t="s">
        <v>29</v>
      </c>
      <c r="B29" s="7">
        <f>NPV(B12,C27:G27)+B27</f>
        <v>576600.3626180524</v>
      </c>
    </row>
    <row r="30" spans="1:10" x14ac:dyDescent="0.25">
      <c r="A30" t="s">
        <v>30</v>
      </c>
      <c r="B30" s="10">
        <f>IRR(B27:G27)</f>
        <v>0.22077548205182551</v>
      </c>
    </row>
    <row r="31" spans="1:10" x14ac:dyDescent="0.25">
      <c r="A31" t="s">
        <v>31</v>
      </c>
      <c r="B31" s="10">
        <f>MIRR(B27:G27,B12,B12)</f>
        <v>0.16564857405838551</v>
      </c>
    </row>
    <row r="32" spans="1:10" x14ac:dyDescent="0.25">
      <c r="A32" t="s">
        <v>32</v>
      </c>
      <c r="B32" s="11">
        <f>NPV(B12,C27:G27)/-B27</f>
        <v>1.3362101239755408</v>
      </c>
    </row>
    <row r="34" spans="1:12" x14ac:dyDescent="0.25">
      <c r="A34" t="s">
        <v>39</v>
      </c>
      <c r="B34" t="s">
        <v>40</v>
      </c>
    </row>
    <row r="36" spans="1:12" x14ac:dyDescent="0.25">
      <c r="K36" t="s">
        <v>41</v>
      </c>
      <c r="L36" t="s">
        <v>42</v>
      </c>
    </row>
    <row r="37" spans="1:12" x14ac:dyDescent="0.25">
      <c r="A37" s="12" t="s">
        <v>1</v>
      </c>
      <c r="C37" s="6">
        <v>-0.3</v>
      </c>
      <c r="D37" s="6">
        <v>-0.2</v>
      </c>
      <c r="E37" s="6">
        <v>-0.1</v>
      </c>
      <c r="F37" s="6">
        <v>0</v>
      </c>
      <c r="G37" s="6">
        <v>0.1</v>
      </c>
      <c r="H37" s="6">
        <v>0.2</v>
      </c>
      <c r="I37" s="6">
        <v>0.3</v>
      </c>
      <c r="K37">
        <f>ABS(SLOPE(C38:I38,C37:I37))</f>
        <v>2956813.6801385884</v>
      </c>
      <c r="L37">
        <f>RANK(K37,$K$37:$K$47)</f>
        <v>3</v>
      </c>
    </row>
    <row r="38" spans="1:12" x14ac:dyDescent="0.25">
      <c r="A38" s="13">
        <f>B29</f>
        <v>576600.3626180524</v>
      </c>
      <c r="B38" s="2">
        <f t="dataTable" ref="B38:I38" dt2D="0" dtr="1" r1="C3"/>
        <v>576600.3626180524</v>
      </c>
      <c r="C38" s="2">
        <v>-310443.74142352468</v>
      </c>
      <c r="D38" s="2">
        <v>-14762.373409665655</v>
      </c>
      <c r="E38" s="2">
        <v>280918.99460419314</v>
      </c>
      <c r="F38" s="2">
        <v>576600.3626180524</v>
      </c>
      <c r="G38" s="2">
        <v>872281.7306319112</v>
      </c>
      <c r="H38" s="2">
        <v>1167963.0986457695</v>
      </c>
      <c r="I38" s="2">
        <v>1463644.4666596288</v>
      </c>
    </row>
    <row r="40" spans="1:12" x14ac:dyDescent="0.25">
      <c r="A40" s="12" t="s">
        <v>12</v>
      </c>
      <c r="C40" s="6">
        <v>-0.3</v>
      </c>
      <c r="D40" s="6">
        <v>-0.2</v>
      </c>
      <c r="E40" s="6">
        <v>-0.1</v>
      </c>
      <c r="F40" s="6">
        <v>0</v>
      </c>
      <c r="G40" s="6">
        <v>0.1</v>
      </c>
      <c r="H40" s="6">
        <v>0.2</v>
      </c>
      <c r="I40" s="6">
        <v>0.3</v>
      </c>
      <c r="K40">
        <f>ABS(SLOPE(C41:I41,C40:I40))</f>
        <v>8870441.0404157676</v>
      </c>
      <c r="L40">
        <f>RANK(K40,$K$37:$K$47)</f>
        <v>2</v>
      </c>
    </row>
    <row r="41" spans="1:12" x14ac:dyDescent="0.25">
      <c r="A41" s="7">
        <f>B29</f>
        <v>576600.3626180524</v>
      </c>
      <c r="B41" s="2">
        <f t="dataTable" ref="B41:I41" dt2D="0" dtr="1" r1="C7"/>
        <v>576600.3626180524</v>
      </c>
      <c r="C41" s="2">
        <v>576600.3626180524</v>
      </c>
      <c r="D41" s="2">
        <v>576600.3626180524</v>
      </c>
      <c r="E41" s="2">
        <v>576600.3626180524</v>
      </c>
      <c r="F41" s="2">
        <v>576600.3626180524</v>
      </c>
      <c r="G41" s="2">
        <v>576600.3626180524</v>
      </c>
      <c r="H41" s="2">
        <v>576600.3626180524</v>
      </c>
      <c r="I41" s="2">
        <v>576600.3626180524</v>
      </c>
    </row>
    <row r="43" spans="1:12" x14ac:dyDescent="0.25">
      <c r="A43" s="12" t="s">
        <v>33</v>
      </c>
      <c r="C43" s="6">
        <v>-0.3</v>
      </c>
      <c r="D43" s="6">
        <v>-0.2</v>
      </c>
      <c r="E43" s="6">
        <v>-0.1</v>
      </c>
      <c r="F43" s="6">
        <v>0</v>
      </c>
      <c r="G43" s="6">
        <v>0.1</v>
      </c>
      <c r="H43" s="6">
        <v>0.2</v>
      </c>
      <c r="I43" s="6">
        <v>0.3</v>
      </c>
      <c r="K43">
        <f>ABS(SLOPE(C44:I44,C43:I43))</f>
        <v>60539.828998267687</v>
      </c>
      <c r="L43">
        <f>RANK(K43,$K$37:$K$47)</f>
        <v>4</v>
      </c>
    </row>
    <row r="44" spans="1:12" x14ac:dyDescent="0.25">
      <c r="A44" s="7">
        <f>B29</f>
        <v>576600.3626180524</v>
      </c>
      <c r="B44" s="2">
        <f t="dataTable" ref="B44:I44" dt2D="0" dtr="1" r1="C9"/>
        <v>576600.3626180524</v>
      </c>
      <c r="C44" s="2">
        <v>576600.3626180524</v>
      </c>
      <c r="D44" s="2">
        <v>576600.3626180524</v>
      </c>
      <c r="E44" s="2">
        <v>576600.3626180524</v>
      </c>
      <c r="F44" s="2">
        <v>576600.3626180524</v>
      </c>
      <c r="G44" s="2">
        <v>576600.3626180524</v>
      </c>
      <c r="H44" s="2">
        <v>576600.3626180524</v>
      </c>
      <c r="I44" s="2">
        <v>576600.3626180524</v>
      </c>
    </row>
    <row r="46" spans="1:12" x14ac:dyDescent="0.25">
      <c r="A46" s="12" t="s">
        <v>13</v>
      </c>
      <c r="C46" s="6">
        <v>-0.3</v>
      </c>
      <c r="D46" s="6">
        <v>-0.2</v>
      </c>
      <c r="E46" s="6">
        <v>-0.1</v>
      </c>
      <c r="F46" s="6">
        <v>0</v>
      </c>
      <c r="G46" s="6">
        <v>0.1</v>
      </c>
      <c r="H46" s="6">
        <v>0.2</v>
      </c>
      <c r="I46" s="6">
        <v>0.3</v>
      </c>
      <c r="K46">
        <f>ABS(SLOPE(C47:I47,C46:I46))</f>
        <v>11827254.720554354</v>
      </c>
      <c r="L46">
        <f>RANK(K46,$K$37:$K$47)</f>
        <v>1</v>
      </c>
    </row>
    <row r="47" spans="1:12" x14ac:dyDescent="0.25">
      <c r="A47" s="7">
        <f>B29</f>
        <v>576600.3626180524</v>
      </c>
      <c r="B47" s="2">
        <f t="dataTable" ref="B47:I47" dt2D="0" dtr="1" r1="C10"/>
        <v>576600.3626180524</v>
      </c>
      <c r="C47" s="2">
        <v>576600.3626180524</v>
      </c>
      <c r="D47" s="2">
        <v>576600.3626180524</v>
      </c>
      <c r="E47" s="2">
        <v>576600.3626180524</v>
      </c>
      <c r="F47" s="2">
        <v>576600.3626180524</v>
      </c>
      <c r="G47" s="2">
        <v>576600.3626180524</v>
      </c>
      <c r="H47" s="2">
        <v>576600.3626180524</v>
      </c>
      <c r="I47" s="2">
        <v>576600.3626180524</v>
      </c>
    </row>
  </sheetData>
  <scenarios current="0" sqref="B29:B32">
    <scenario name="Optimisitic case" locked="1" count="3" user="Anestal, Chelsea" comment="Created by Anestal, Chelsea on 3/29/2026">
      <inputCells r="B10" val="70"/>
      <inputCells r="B7" val="35"/>
      <inputCells r="B3" val="90000"/>
    </scenario>
    <scenario name="Pessimistic case" locked="1" count="3" user="Anestal, Chelsea" comment="Created by Anestal, Chelsea on 3/29/2026">
      <inputCells r="B10" val="50"/>
      <inputCells r="B7" val="55"/>
      <inputCells r="B3" val="70000"/>
    </scenario>
  </scenario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6FE1F-51A1-4865-A9B3-BA2C963B0BEF}">
  <dimension ref="A1:N47"/>
  <sheetViews>
    <sheetView tabSelected="1" zoomScale="70" zoomScaleNormal="70" workbookViewId="0">
      <selection activeCell="N49" sqref="N49"/>
    </sheetView>
  </sheetViews>
  <sheetFormatPr defaultRowHeight="15" x14ac:dyDescent="0.25"/>
  <cols>
    <col min="1" max="1" width="41" bestFit="1" customWidth="1"/>
    <col min="2" max="2" width="49" customWidth="1"/>
    <col min="3" max="3" width="23.85546875" customWidth="1"/>
    <col min="4" max="4" width="33" bestFit="1" customWidth="1"/>
    <col min="5" max="7" width="16.85546875" bestFit="1" customWidth="1"/>
    <col min="8" max="8" width="16.7109375" bestFit="1" customWidth="1"/>
    <col min="9" max="9" width="30.7109375" bestFit="1" customWidth="1"/>
    <col min="10" max="10" width="14.42578125" bestFit="1" customWidth="1"/>
    <col min="11" max="11" width="13" bestFit="1" customWidth="1"/>
  </cols>
  <sheetData>
    <row r="1" spans="1:14" ht="32.25" thickBot="1" x14ac:dyDescent="0.3">
      <c r="C1" t="s">
        <v>3</v>
      </c>
      <c r="J1" s="3" t="s">
        <v>6</v>
      </c>
      <c r="K1" s="3" t="s">
        <v>7</v>
      </c>
      <c r="L1" s="3" t="s">
        <v>8</v>
      </c>
    </row>
    <row r="2" spans="1:14" ht="15.75" thickBot="1" x14ac:dyDescent="0.3">
      <c r="A2" t="s">
        <v>0</v>
      </c>
      <c r="B2" s="1">
        <v>50000</v>
      </c>
      <c r="J2" s="4">
        <v>1</v>
      </c>
      <c r="K2" s="4">
        <v>33.33</v>
      </c>
      <c r="L2" s="4">
        <v>20</v>
      </c>
    </row>
    <row r="3" spans="1:14" ht="15.75" thickBot="1" x14ac:dyDescent="0.3">
      <c r="A3" t="s">
        <v>1</v>
      </c>
      <c r="B3" s="1">
        <f>80000*(1+C3)</f>
        <v>80000</v>
      </c>
      <c r="C3" s="8">
        <v>0</v>
      </c>
      <c r="J3" s="4">
        <v>2</v>
      </c>
      <c r="K3" s="4">
        <v>44.45</v>
      </c>
      <c r="L3" s="4">
        <v>32</v>
      </c>
    </row>
    <row r="4" spans="1:14" ht="15.75" thickBot="1" x14ac:dyDescent="0.3">
      <c r="A4" t="s">
        <v>2</v>
      </c>
      <c r="B4" s="2">
        <v>1600000</v>
      </c>
      <c r="J4" s="4">
        <v>3</v>
      </c>
      <c r="K4" s="4" t="s">
        <v>9</v>
      </c>
      <c r="L4" s="4">
        <v>19.2</v>
      </c>
    </row>
    <row r="5" spans="1:14" ht="15.75" thickBot="1" x14ac:dyDescent="0.3">
      <c r="A5" t="s">
        <v>4</v>
      </c>
      <c r="B5">
        <v>5</v>
      </c>
      <c r="J5" s="4">
        <v>4</v>
      </c>
      <c r="K5" s="4">
        <v>7.41</v>
      </c>
      <c r="L5" s="4" t="s">
        <v>10</v>
      </c>
    </row>
    <row r="6" spans="1:14" ht="15.75" thickBot="1" x14ac:dyDescent="0.3">
      <c r="A6" t="s">
        <v>11</v>
      </c>
      <c r="B6" s="5">
        <v>500000</v>
      </c>
      <c r="J6" s="4">
        <v>5</v>
      </c>
      <c r="K6" s="4"/>
      <c r="L6" s="4">
        <v>11.52</v>
      </c>
    </row>
    <row r="7" spans="1:14" ht="15.75" thickBot="1" x14ac:dyDescent="0.3">
      <c r="A7" t="s">
        <v>12</v>
      </c>
      <c r="B7" s="2">
        <f>45*(1+C7)</f>
        <v>45</v>
      </c>
      <c r="C7" s="8">
        <v>0</v>
      </c>
    </row>
    <row r="8" spans="1:14" ht="15.75" thickBot="1" x14ac:dyDescent="0.3">
      <c r="A8" t="s">
        <v>5</v>
      </c>
      <c r="B8">
        <v>5</v>
      </c>
      <c r="J8" s="4">
        <v>20</v>
      </c>
      <c r="K8" s="4">
        <v>32</v>
      </c>
      <c r="L8" s="4">
        <v>19.2</v>
      </c>
      <c r="M8" s="4">
        <v>11.52</v>
      </c>
      <c r="N8" s="4">
        <v>11.52</v>
      </c>
    </row>
    <row r="9" spans="1:14" x14ac:dyDescent="0.25">
      <c r="A9" t="s">
        <v>33</v>
      </c>
      <c r="B9" s="2">
        <f>150000*(1+$C$9)</f>
        <v>150000</v>
      </c>
      <c r="C9" s="8">
        <v>0</v>
      </c>
      <c r="J9" s="9">
        <f>J8/100</f>
        <v>0.2</v>
      </c>
      <c r="K9" s="9">
        <f t="shared" ref="K9:N9" si="0">K8/100</f>
        <v>0.32</v>
      </c>
      <c r="L9" s="9">
        <f t="shared" si="0"/>
        <v>0.192</v>
      </c>
      <c r="M9" s="9">
        <f t="shared" si="0"/>
        <v>0.1152</v>
      </c>
      <c r="N9" s="9">
        <f t="shared" si="0"/>
        <v>0.1152</v>
      </c>
    </row>
    <row r="10" spans="1:14" x14ac:dyDescent="0.25">
      <c r="A10" t="s">
        <v>13</v>
      </c>
      <c r="B10" s="2">
        <f>60*(1+C10)</f>
        <v>60</v>
      </c>
      <c r="C10" s="8">
        <v>0</v>
      </c>
    </row>
    <row r="11" spans="1:14" x14ac:dyDescent="0.25">
      <c r="A11" t="s">
        <v>14</v>
      </c>
      <c r="B11" s="2">
        <v>115000</v>
      </c>
      <c r="D11" t="s">
        <v>15</v>
      </c>
    </row>
    <row r="12" spans="1:14" x14ac:dyDescent="0.25">
      <c r="A12" t="s">
        <v>34</v>
      </c>
      <c r="B12" s="6">
        <f>10%*(1+$C$12)</f>
        <v>0.1</v>
      </c>
      <c r="C12" s="6">
        <v>0</v>
      </c>
    </row>
    <row r="13" spans="1:14" x14ac:dyDescent="0.25">
      <c r="A13" t="s">
        <v>16</v>
      </c>
      <c r="B13" s="6">
        <v>0.35</v>
      </c>
    </row>
    <row r="15" spans="1:14" x14ac:dyDescent="0.25">
      <c r="A15" t="s">
        <v>17</v>
      </c>
      <c r="B15">
        <v>0</v>
      </c>
      <c r="C15">
        <v>1</v>
      </c>
      <c r="D15">
        <v>2</v>
      </c>
      <c r="E15">
        <v>3</v>
      </c>
      <c r="F15">
        <v>4</v>
      </c>
      <c r="G15">
        <v>5</v>
      </c>
    </row>
    <row r="16" spans="1:14" x14ac:dyDescent="0.25">
      <c r="A16" t="s">
        <v>18</v>
      </c>
      <c r="B16" s="2">
        <f>-B4-B11</f>
        <v>-1715000</v>
      </c>
    </row>
    <row r="17" spans="1:10" x14ac:dyDescent="0.25">
      <c r="A17" t="s">
        <v>19</v>
      </c>
      <c r="C17" s="7">
        <f>$B$10*$B$3</f>
        <v>4800000</v>
      </c>
      <c r="D17" s="7">
        <f t="shared" ref="D17:G17" si="1">$B$10*$B$3</f>
        <v>4800000</v>
      </c>
      <c r="E17" s="7">
        <f t="shared" si="1"/>
        <v>4800000</v>
      </c>
      <c r="F17" s="7">
        <f t="shared" si="1"/>
        <v>4800000</v>
      </c>
      <c r="G17" s="7">
        <f t="shared" si="1"/>
        <v>4800000</v>
      </c>
      <c r="I17" t="s">
        <v>35</v>
      </c>
    </row>
    <row r="18" spans="1:10" x14ac:dyDescent="0.25">
      <c r="A18" t="s">
        <v>20</v>
      </c>
      <c r="C18" s="2">
        <f>($B$7*$B$3)</f>
        <v>3600000</v>
      </c>
      <c r="D18" s="2">
        <f t="shared" ref="D18:G18" si="2">($B$7*$B$3)</f>
        <v>3600000</v>
      </c>
      <c r="E18" s="2">
        <f t="shared" si="2"/>
        <v>3600000</v>
      </c>
      <c r="F18" s="2">
        <f t="shared" si="2"/>
        <v>3600000</v>
      </c>
      <c r="G18" s="2">
        <f t="shared" si="2"/>
        <v>3600000</v>
      </c>
    </row>
    <row r="19" spans="1:10" x14ac:dyDescent="0.25">
      <c r="A19" t="s">
        <v>21</v>
      </c>
      <c r="C19" s="5">
        <f>$B$6</f>
        <v>500000</v>
      </c>
      <c r="D19" s="5">
        <f t="shared" ref="D19:G19" si="3">$B$6</f>
        <v>500000</v>
      </c>
      <c r="E19" s="5">
        <f t="shared" si="3"/>
        <v>500000</v>
      </c>
      <c r="F19" s="5">
        <f t="shared" si="3"/>
        <v>500000</v>
      </c>
      <c r="G19" s="5">
        <f t="shared" si="3"/>
        <v>500000</v>
      </c>
    </row>
    <row r="20" spans="1:10" x14ac:dyDescent="0.25">
      <c r="A20" t="s">
        <v>22</v>
      </c>
      <c r="C20" s="7">
        <f>$B$4*J9</f>
        <v>320000</v>
      </c>
      <c r="D20" s="7">
        <f t="shared" ref="D20:G20" si="4">$B$4*K9</f>
        <v>512000</v>
      </c>
      <c r="E20" s="7">
        <f t="shared" si="4"/>
        <v>307200</v>
      </c>
      <c r="F20" s="7">
        <f t="shared" si="4"/>
        <v>184320</v>
      </c>
      <c r="G20" s="7">
        <f t="shared" si="4"/>
        <v>184320</v>
      </c>
      <c r="I20" t="s">
        <v>36</v>
      </c>
      <c r="J20" s="7">
        <f>B4*(100%-(SUM(J9:N9)))</f>
        <v>92160.00000000016</v>
      </c>
    </row>
    <row r="21" spans="1:10" x14ac:dyDescent="0.25">
      <c r="A21" t="s">
        <v>23</v>
      </c>
      <c r="C21" s="7">
        <f>C17-C18-C19-C20</f>
        <v>380000</v>
      </c>
      <c r="D21" s="7">
        <f t="shared" ref="D21:G21" si="5">D17-D18-D19-D20</f>
        <v>188000</v>
      </c>
      <c r="E21" s="7">
        <f t="shared" si="5"/>
        <v>392800</v>
      </c>
      <c r="F21" s="7">
        <f t="shared" si="5"/>
        <v>515680</v>
      </c>
      <c r="G21" s="7">
        <f t="shared" si="5"/>
        <v>515680</v>
      </c>
      <c r="I21" t="s">
        <v>37</v>
      </c>
      <c r="J21" s="7">
        <f>B9-J20</f>
        <v>57839.99999999984</v>
      </c>
    </row>
    <row r="22" spans="1:10" x14ac:dyDescent="0.25">
      <c r="A22" t="s">
        <v>24</v>
      </c>
      <c r="C22" s="7">
        <f>C21*$B$13</f>
        <v>133000</v>
      </c>
      <c r="D22" s="7">
        <f t="shared" ref="D22:G22" si="6">D21*$B$13</f>
        <v>65800</v>
      </c>
      <c r="E22" s="7">
        <f t="shared" si="6"/>
        <v>137480</v>
      </c>
      <c r="F22" s="7">
        <f t="shared" si="6"/>
        <v>180488</v>
      </c>
      <c r="G22" s="7">
        <f t="shared" si="6"/>
        <v>180488</v>
      </c>
      <c r="I22" t="s">
        <v>24</v>
      </c>
      <c r="J22" s="7">
        <f>J21*B13</f>
        <v>20243.999999999942</v>
      </c>
    </row>
    <row r="23" spans="1:10" x14ac:dyDescent="0.25">
      <c r="A23" t="s">
        <v>25</v>
      </c>
      <c r="C23" s="7">
        <f>C21-C22</f>
        <v>247000</v>
      </c>
      <c r="D23" s="7">
        <f t="shared" ref="D23:G23" si="7">D21-D22</f>
        <v>122200</v>
      </c>
      <c r="E23" s="7">
        <f t="shared" si="7"/>
        <v>255320</v>
      </c>
      <c r="F23" s="7">
        <f t="shared" si="7"/>
        <v>335192</v>
      </c>
      <c r="G23" s="7">
        <f t="shared" si="7"/>
        <v>335192</v>
      </c>
      <c r="I23" t="s">
        <v>38</v>
      </c>
      <c r="J23" s="7">
        <f>B9-J22</f>
        <v>129756.00000000006</v>
      </c>
    </row>
    <row r="24" spans="1:10" x14ac:dyDescent="0.25">
      <c r="A24" t="s">
        <v>26</v>
      </c>
      <c r="C24" s="7">
        <f>C23+C20</f>
        <v>567000</v>
      </c>
      <c r="D24" s="7">
        <f t="shared" ref="D24:G24" si="8">D23+D20</f>
        <v>634200</v>
      </c>
      <c r="E24" s="7">
        <f t="shared" si="8"/>
        <v>562520</v>
      </c>
      <c r="F24" s="7">
        <f t="shared" si="8"/>
        <v>519512</v>
      </c>
      <c r="G24" s="7">
        <f t="shared" si="8"/>
        <v>519512</v>
      </c>
    </row>
    <row r="25" spans="1:10" x14ac:dyDescent="0.25">
      <c r="A25" t="s">
        <v>27</v>
      </c>
      <c r="G25" s="7">
        <f>B11+J23</f>
        <v>244756.00000000006</v>
      </c>
    </row>
    <row r="27" spans="1:10" x14ac:dyDescent="0.25">
      <c r="A27" t="s">
        <v>28</v>
      </c>
      <c r="B27" s="7">
        <f>SUM(B16,B24,B25)</f>
        <v>-1715000</v>
      </c>
      <c r="C27" s="7">
        <f t="shared" ref="C27:G27" si="9">SUM(C16,C24,C25)</f>
        <v>567000</v>
      </c>
      <c r="D27" s="7">
        <f t="shared" si="9"/>
        <v>634200</v>
      </c>
      <c r="E27" s="7">
        <f t="shared" si="9"/>
        <v>562520</v>
      </c>
      <c r="F27" s="7">
        <f t="shared" si="9"/>
        <v>519512</v>
      </c>
      <c r="G27" s="7">
        <f t="shared" si="9"/>
        <v>764268</v>
      </c>
    </row>
    <row r="29" spans="1:10" x14ac:dyDescent="0.25">
      <c r="A29" t="s">
        <v>29</v>
      </c>
      <c r="B29" s="7">
        <f>NPV(B12,C27:G27)+B27</f>
        <v>576600.3626180524</v>
      </c>
    </row>
    <row r="30" spans="1:10" x14ac:dyDescent="0.25">
      <c r="A30" t="s">
        <v>30</v>
      </c>
      <c r="B30" s="10">
        <f>IRR(B27:G27)</f>
        <v>0.22077548205182551</v>
      </c>
    </row>
    <row r="31" spans="1:10" x14ac:dyDescent="0.25">
      <c r="A31" t="s">
        <v>31</v>
      </c>
      <c r="B31" s="10">
        <f>MIRR(B27:G27,B12,B12)</f>
        <v>0.16564857405838551</v>
      </c>
    </row>
    <row r="32" spans="1:10" x14ac:dyDescent="0.25">
      <c r="A32" t="s">
        <v>32</v>
      </c>
      <c r="B32" s="11">
        <f>NPV(B12,C27:G27)/-B27</f>
        <v>1.3362101239755408</v>
      </c>
    </row>
    <row r="34" spans="1:12" x14ac:dyDescent="0.25">
      <c r="A34" t="s">
        <v>39</v>
      </c>
      <c r="B34" t="s">
        <v>40</v>
      </c>
    </row>
    <row r="36" spans="1:12" x14ac:dyDescent="0.25">
      <c r="K36" t="s">
        <v>41</v>
      </c>
      <c r="L36" t="s">
        <v>42</v>
      </c>
    </row>
    <row r="37" spans="1:12" x14ac:dyDescent="0.25">
      <c r="A37" s="12" t="s">
        <v>1</v>
      </c>
      <c r="C37" s="6">
        <v>-0.3</v>
      </c>
      <c r="D37" s="6">
        <v>-0.2</v>
      </c>
      <c r="E37" s="6">
        <v>-0.1</v>
      </c>
      <c r="F37" s="6">
        <v>0</v>
      </c>
      <c r="G37" s="6">
        <v>0.1</v>
      </c>
      <c r="H37" s="6">
        <v>0.2</v>
      </c>
      <c r="I37" s="6">
        <v>0.3</v>
      </c>
      <c r="K37">
        <f>ABS(SLOPE(C38:I38,C37:I37))</f>
        <v>2956813.6801385884</v>
      </c>
      <c r="L37" s="12">
        <f>RANK(K37,$K$37:$K$47)</f>
        <v>3</v>
      </c>
    </row>
    <row r="38" spans="1:12" x14ac:dyDescent="0.25">
      <c r="A38" s="13">
        <f>B29</f>
        <v>576600.3626180524</v>
      </c>
      <c r="B38" s="2">
        <f t="dataTable" ref="B38:I38" dt2D="0" dtr="1" r1="C3"/>
        <v>576600.3626180524</v>
      </c>
      <c r="C38" s="2">
        <v>-310443.74142352468</v>
      </c>
      <c r="D38" s="2">
        <v>-14762.373409665655</v>
      </c>
      <c r="E38" s="2">
        <v>280918.99460419314</v>
      </c>
      <c r="F38" s="2">
        <v>576600.3626180524</v>
      </c>
      <c r="G38" s="2">
        <v>872281.7306319112</v>
      </c>
      <c r="H38" s="2">
        <v>1167963.0986457695</v>
      </c>
      <c r="I38" s="2">
        <v>1463644.4666596288</v>
      </c>
    </row>
    <row r="40" spans="1:12" x14ac:dyDescent="0.25">
      <c r="A40" s="12" t="s">
        <v>12</v>
      </c>
      <c r="C40" s="6">
        <v>-0.3</v>
      </c>
      <c r="D40" s="6">
        <v>-0.2</v>
      </c>
      <c r="E40" s="6">
        <v>-0.1</v>
      </c>
      <c r="F40" s="6">
        <v>0</v>
      </c>
      <c r="G40" s="6">
        <v>0.1</v>
      </c>
      <c r="H40" s="6">
        <v>0.2</v>
      </c>
      <c r="I40" s="6">
        <v>0.3</v>
      </c>
      <c r="K40">
        <f>ABS(SLOPE(C41:I41,C40:I40))</f>
        <v>8870441.0404157676</v>
      </c>
      <c r="L40" s="12">
        <f>RANK(K40,$K$37:$K$47)</f>
        <v>2</v>
      </c>
    </row>
    <row r="41" spans="1:12" x14ac:dyDescent="0.25">
      <c r="A41" s="7">
        <f>B29</f>
        <v>576600.3626180524</v>
      </c>
      <c r="B41" s="2">
        <f t="dataTable" ref="B41:I41" dt2D="0" dtr="1" r1="C7" ca="1"/>
        <v>576600.3626180524</v>
      </c>
      <c r="C41" s="2">
        <v>3237732.6747427834</v>
      </c>
      <c r="D41" s="2">
        <v>2350688.5707012052</v>
      </c>
      <c r="E41" s="2">
        <v>1463644.4666596288</v>
      </c>
      <c r="F41" s="2">
        <v>576600.3626180524</v>
      </c>
      <c r="G41" s="2">
        <v>-310443.74142352585</v>
      </c>
      <c r="H41" s="2">
        <v>-1197487.8454651013</v>
      </c>
      <c r="I41" s="2">
        <v>-2084531.9495066779</v>
      </c>
    </row>
    <row r="43" spans="1:12" x14ac:dyDescent="0.25">
      <c r="A43" s="12" t="s">
        <v>33</v>
      </c>
      <c r="C43" s="6">
        <v>-0.3</v>
      </c>
      <c r="D43" s="6">
        <v>-0.2</v>
      </c>
      <c r="E43" s="6">
        <v>-0.1</v>
      </c>
      <c r="F43" s="6">
        <v>0</v>
      </c>
      <c r="G43" s="6">
        <v>0.1</v>
      </c>
      <c r="H43" s="6">
        <v>0.2</v>
      </c>
      <c r="I43" s="6">
        <v>0.3</v>
      </c>
      <c r="K43">
        <f>ABS(SLOPE(C44:I44,C43:I43))</f>
        <v>60539.828998267687</v>
      </c>
      <c r="L43">
        <f>RANK(K43,$K$37:$K$47)</f>
        <v>4</v>
      </c>
    </row>
    <row r="44" spans="1:12" x14ac:dyDescent="0.25">
      <c r="A44" s="7">
        <f>B29</f>
        <v>576600.3626180524</v>
      </c>
      <c r="B44" s="2">
        <f t="dataTable" ref="B44:I44" dt2D="0" dtr="1" r1="C9" ca="1"/>
        <v>576600.3626180524</v>
      </c>
      <c r="C44" s="2">
        <v>558438.41391857201</v>
      </c>
      <c r="D44" s="2">
        <v>564492.39681839896</v>
      </c>
      <c r="E44" s="2">
        <v>570546.37971822545</v>
      </c>
      <c r="F44" s="2">
        <v>576600.3626180524</v>
      </c>
      <c r="G44" s="2">
        <v>582654.34551787889</v>
      </c>
      <c r="H44" s="2">
        <v>588708.32841770584</v>
      </c>
      <c r="I44" s="2">
        <v>594762.31131753279</v>
      </c>
    </row>
    <row r="46" spans="1:12" x14ac:dyDescent="0.25">
      <c r="A46" s="12" t="s">
        <v>13</v>
      </c>
      <c r="C46" s="6">
        <v>-0.3</v>
      </c>
      <c r="D46" s="6">
        <v>-0.2</v>
      </c>
      <c r="E46" s="6">
        <v>-0.1</v>
      </c>
      <c r="F46" s="6">
        <v>0</v>
      </c>
      <c r="G46" s="6">
        <v>0.1</v>
      </c>
      <c r="H46" s="6">
        <v>0.2</v>
      </c>
      <c r="I46" s="6">
        <v>0.3</v>
      </c>
      <c r="K46">
        <f>ABS(SLOPE(C47:I47,C46:I46))</f>
        <v>11827254.720554354</v>
      </c>
      <c r="L46" s="12">
        <f>RANK(K46,$K$37:$K$47)</f>
        <v>1</v>
      </c>
    </row>
    <row r="47" spans="1:12" x14ac:dyDescent="0.25">
      <c r="A47" s="7">
        <f>B29</f>
        <v>576600.3626180524</v>
      </c>
      <c r="B47" s="2">
        <f t="dataTable" ref="B47:I47" dt2D="0" dtr="1" r1="C10" ca="1"/>
        <v>576600.3626180524</v>
      </c>
      <c r="C47" s="2">
        <v>-2971576.053548255</v>
      </c>
      <c r="D47" s="2">
        <v>-1788850.5814928189</v>
      </c>
      <c r="E47" s="2">
        <v>-606125.10943738348</v>
      </c>
      <c r="F47" s="2">
        <v>576600.3626180524</v>
      </c>
      <c r="G47" s="2">
        <v>1759325.834673488</v>
      </c>
      <c r="H47" s="2">
        <v>2942051.3067289237</v>
      </c>
      <c r="I47" s="2">
        <v>4124776.7787843579</v>
      </c>
    </row>
  </sheetData>
  <scenarios current="1" sqref="B29:B32">
    <scenario name="Optimisitic case" locked="1" count="3" user="Anestal, Chelsea" comment="Created by Anestal, Chelsea on 3/29/2026_x000a_Modified by Anestal, Chelsea on 3/29/2026">
      <inputCells r="B10" val="65"/>
      <inputCells r="B7" val="40"/>
      <inputCells r="B3" val="85000"/>
    </scenario>
    <scenario name="Pessimistic case" locked="1" count="3" user="Anestal, Chelsea" comment="Created by Anestal, Chelsea on 3/29/2026_x000a_Modified by Anestal, Chelsea on 3/29/2026">
      <inputCells r="B10" val="55"/>
      <inputCells r="B7" val="50"/>
      <inputCells r="B3" val="75000"/>
    </scenario>
  </scenario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165FB-BEB0-42C7-8D1D-133E8ECAC344}">
  <sheetPr>
    <outlinePr summaryBelow="0"/>
  </sheetPr>
  <dimension ref="B1:F19"/>
  <sheetViews>
    <sheetView showGridLines="0" workbookViewId="0">
      <selection activeCell="B19" sqref="B19"/>
    </sheetView>
  </sheetViews>
  <sheetFormatPr defaultRowHeight="15" outlineLevelRow="1" outlineLevelCol="1" x14ac:dyDescent="0.25"/>
  <cols>
    <col min="3" max="3" width="22.85546875" bestFit="1" customWidth="1"/>
    <col min="4" max="6" width="15" bestFit="1" customWidth="1" outlineLevel="1"/>
  </cols>
  <sheetData>
    <row r="1" spans="2:6" ht="15.75" thickBot="1" x14ac:dyDescent="0.3"/>
    <row r="2" spans="2:6" ht="15.75" x14ac:dyDescent="0.25">
      <c r="B2" s="15" t="s">
        <v>45</v>
      </c>
      <c r="C2" s="15"/>
      <c r="D2" s="18"/>
      <c r="E2" s="18"/>
      <c r="F2" s="18"/>
    </row>
    <row r="3" spans="2:6" ht="15.75" collapsed="1" x14ac:dyDescent="0.25">
      <c r="B3" s="14"/>
      <c r="C3" s="14"/>
      <c r="D3" s="19" t="s">
        <v>55</v>
      </c>
      <c r="E3" s="19" t="s">
        <v>43</v>
      </c>
      <c r="F3" s="19" t="s">
        <v>44</v>
      </c>
    </row>
    <row r="4" spans="2:6" ht="67.5" hidden="1" outlineLevel="1" x14ac:dyDescent="0.25">
      <c r="B4" s="25"/>
      <c r="C4" s="25"/>
      <c r="D4" s="20"/>
      <c r="E4" s="26" t="s">
        <v>51</v>
      </c>
      <c r="F4" s="26" t="s">
        <v>51</v>
      </c>
    </row>
    <row r="5" spans="2:6" x14ac:dyDescent="0.25">
      <c r="B5" s="16" t="s">
        <v>46</v>
      </c>
      <c r="C5" s="16"/>
      <c r="D5" s="24"/>
      <c r="E5" s="24"/>
      <c r="F5" s="24"/>
    </row>
    <row r="6" spans="2:6" outlineLevel="1" x14ac:dyDescent="0.25">
      <c r="B6" s="25"/>
      <c r="C6" s="25" t="s">
        <v>53</v>
      </c>
      <c r="D6" s="21">
        <v>60</v>
      </c>
      <c r="E6" s="28">
        <v>65</v>
      </c>
      <c r="F6" s="28">
        <v>55</v>
      </c>
    </row>
    <row r="7" spans="2:6" outlineLevel="1" x14ac:dyDescent="0.25">
      <c r="B7" s="25"/>
      <c r="C7" s="25" t="s">
        <v>54</v>
      </c>
      <c r="D7" s="21">
        <v>45</v>
      </c>
      <c r="E7" s="28">
        <v>40</v>
      </c>
      <c r="F7" s="28">
        <v>50</v>
      </c>
    </row>
    <row r="8" spans="2:6" outlineLevel="1" x14ac:dyDescent="0.25">
      <c r="B8" s="25"/>
      <c r="C8" s="25" t="s">
        <v>52</v>
      </c>
      <c r="D8" s="27">
        <v>80000</v>
      </c>
      <c r="E8" s="29">
        <v>85000</v>
      </c>
      <c r="F8" s="29">
        <v>75000</v>
      </c>
    </row>
    <row r="9" spans="2:6" x14ac:dyDescent="0.25">
      <c r="B9" s="16" t="s">
        <v>47</v>
      </c>
      <c r="C9" s="16"/>
      <c r="D9" s="24"/>
      <c r="E9" s="24"/>
      <c r="F9" s="24"/>
    </row>
    <row r="10" spans="2:6" outlineLevel="1" x14ac:dyDescent="0.25">
      <c r="B10" s="25"/>
      <c r="C10" s="25" t="s">
        <v>29</v>
      </c>
      <c r="D10" s="21">
        <v>576600.36261805205</v>
      </c>
      <c r="E10" s="21">
        <v>2855810.9077248801</v>
      </c>
      <c r="F10" s="21">
        <v>-1456209.0424772301</v>
      </c>
    </row>
    <row r="11" spans="2:6" outlineLevel="1" x14ac:dyDescent="0.25">
      <c r="B11" s="25"/>
      <c r="C11" s="25" t="s">
        <v>30</v>
      </c>
      <c r="D11" s="22">
        <v>0.22077548205182601</v>
      </c>
      <c r="E11" s="22">
        <v>0.63574181365897098</v>
      </c>
      <c r="F11" s="22">
        <v>-0.31006185820639498</v>
      </c>
    </row>
    <row r="12" spans="2:6" outlineLevel="1" x14ac:dyDescent="0.25">
      <c r="B12" s="25"/>
      <c r="C12" s="25" t="s">
        <v>31</v>
      </c>
      <c r="D12" s="22">
        <v>0.16564857405838601</v>
      </c>
      <c r="E12" s="22">
        <v>0.33825388029561898</v>
      </c>
      <c r="F12" s="22">
        <v>-0.24088545289384</v>
      </c>
    </row>
    <row r="13" spans="2:6" ht="15.75" outlineLevel="1" thickBot="1" x14ac:dyDescent="0.3">
      <c r="B13" s="17"/>
      <c r="C13" s="17" t="s">
        <v>32</v>
      </c>
      <c r="D13" s="23">
        <v>1.33621012397554</v>
      </c>
      <c r="E13" s="23">
        <v>2.6651958645626102</v>
      </c>
      <c r="F13" s="23">
        <v>0.15089851750599001</v>
      </c>
    </row>
    <row r="14" spans="2:6" x14ac:dyDescent="0.25">
      <c r="B14" t="s">
        <v>48</v>
      </c>
    </row>
    <row r="15" spans="2:6" x14ac:dyDescent="0.25">
      <c r="B15" t="s">
        <v>49</v>
      </c>
    </row>
    <row r="16" spans="2:6" x14ac:dyDescent="0.25">
      <c r="B16" t="s">
        <v>50</v>
      </c>
    </row>
    <row r="18" spans="2:2" x14ac:dyDescent="0.25">
      <c r="B18" t="s">
        <v>56</v>
      </c>
    </row>
    <row r="19" spans="2:2" x14ac:dyDescent="0.25">
      <c r="B19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Q1</vt:lpstr>
      <vt:lpstr>Q2</vt:lpstr>
      <vt:lpstr>Q3</vt:lpstr>
      <vt:lpstr>Q3Scenario Summary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Chelsea Anestal</cp:lastModifiedBy>
  <cp:revision/>
  <dcterms:created xsi:type="dcterms:W3CDTF">2026-03-29T22:13:18Z</dcterms:created>
  <dcterms:modified xsi:type="dcterms:W3CDTF">2026-03-30T00:54:57Z</dcterms:modified>
  <cp:category/>
  <cp:contentStatus/>
</cp:coreProperties>
</file>